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C:\Users\rjnb_\Dropbox\Bugsy’s &amp; Polobar\Polo\EK-Poule\"/>
    </mc:Choice>
  </mc:AlternateContent>
  <xr:revisionPtr revIDLastSave="0" documentId="8_{57EF1373-3C1B-48CD-A116-DC844ECCCE1D}" xr6:coauthVersionLast="47" xr6:coauthVersionMax="47" xr10:uidLastSave="{00000000-0000-0000-0000-000000000000}"/>
  <workbookProtection workbookAlgorithmName="SHA-512" workbookHashValue="XGe54UlORSiR4nPTC6rov8HXFKrmhEgC75Xt9ihYgOWebTJKaob08GcJc41teyv2Q1Cd7+0f+zmhOGKvdsU3gg==" workbookSaltValue="Kctvk8c4PvByKQ95KRbwEg==" workbookSpinCount="100000" lockStructure="1"/>
  <bookViews>
    <workbookView xWindow="-120" yWindow="-120" windowWidth="29040" windowHeight="15840" firstSheet="4" activeTab="10"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42" r:id="rId8"/>
    <sheet name="Eindstand Groep" sheetId="38" r:id="rId9"/>
    <sheet name="Finalewedstrijden" sheetId="43" r:id="rId10"/>
    <sheet name="Bonusvragen" sheetId="45" r:id="rId11"/>
    <sheet name="Teams" sheetId="64" state="hidden" r:id="rId12"/>
    <sheet name="Deelnamecode" sheetId="46" r:id="rId13"/>
  </sheets>
  <definedNames>
    <definedName name="_REGLEMENTCODE">#REF!</definedName>
    <definedName name="_xlnm.Print_Area" localSheetId="10">Bonusvragen!$C$3:$P$71</definedName>
    <definedName name="_xlnm.Print_Area" localSheetId="12">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1">Teams!$C$3:$P$190</definedName>
    <definedName name="_xlnm.Print_Area" localSheetId="4">Voorblad!$C$3:$S$62</definedName>
    <definedName name="DEENAMECODE">Deelnamecode!$C$137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67" i="25" l="1"/>
  <c r="D52" i="43" l="1"/>
  <c r="E14" i="43"/>
  <c r="AF133" i="46"/>
  <c r="E142" i="62" l="1"/>
  <c r="AH86" i="45"/>
  <c r="AH87" i="45"/>
  <c r="AC179" i="43"/>
  <c r="AE127" i="43"/>
  <c r="AE126" i="43"/>
  <c r="AE125" i="43"/>
  <c r="AE124" i="43"/>
  <c r="AE123" i="43"/>
  <c r="AE122" i="43"/>
  <c r="AF180" i="43" s="1"/>
  <c r="AE121" i="43"/>
  <c r="AE120" i="43"/>
  <c r="AC175" i="43"/>
  <c r="AC174" i="43"/>
  <c r="AC173" i="43"/>
  <c r="AF129" i="43"/>
  <c r="AC128" i="43"/>
  <c r="AC172" i="43" l="1"/>
  <c r="AC168" i="43"/>
  <c r="AC161" i="43"/>
  <c r="AC156" i="43"/>
  <c r="AR163" i="43"/>
  <c r="AF157" i="43"/>
  <c r="AK147" i="43"/>
  <c r="AE147" i="43"/>
  <c r="AK146" i="43"/>
  <c r="AE146" i="43"/>
  <c r="AE108" i="43" l="1"/>
  <c r="AC108" i="43"/>
  <c r="AE105" i="43"/>
  <c r="AC105" i="43"/>
  <c r="AE101" i="43"/>
  <c r="AC101" i="43"/>
  <c r="AE95" i="43"/>
  <c r="AC95" i="43"/>
  <c r="AJ58" i="43"/>
  <c r="AJ50" i="43"/>
  <c r="AJ44" i="43"/>
  <c r="AB93" i="43"/>
  <c r="AB92" i="43"/>
  <c r="AB91" i="43"/>
  <c r="AB90" i="43"/>
  <c r="AB89" i="43"/>
  <c r="AB88" i="43"/>
  <c r="AB87" i="43"/>
  <c r="AB86" i="43"/>
  <c r="AB81" i="43"/>
  <c r="AB80" i="43"/>
  <c r="AB79" i="43"/>
  <c r="AB78" i="43"/>
  <c r="AB77" i="43"/>
  <c r="AB76" i="43"/>
  <c r="AB75" i="43"/>
  <c r="AB74" i="43"/>
  <c r="X11" i="38" l="1"/>
  <c r="X10" i="38"/>
  <c r="X9" i="38"/>
  <c r="X7" i="38"/>
  <c r="X6" i="38"/>
  <c r="Z19" i="42"/>
  <c r="AM60" i="42"/>
  <c r="AO58" i="42"/>
  <c r="AL59" i="42"/>
  <c r="AN57" i="42"/>
  <c r="AM50" i="42"/>
  <c r="AN49" i="42"/>
  <c r="AL51" i="42"/>
  <c r="AO48" i="42"/>
  <c r="AL42" i="42"/>
  <c r="AO39" i="42"/>
  <c r="AM42" i="42"/>
  <c r="AO41" i="42"/>
  <c r="AM41" i="42"/>
  <c r="AL41" i="42"/>
  <c r="AO40" i="42"/>
  <c r="AN40" i="42"/>
  <c r="AL40" i="42"/>
  <c r="AN39" i="42"/>
  <c r="AM39" i="42"/>
  <c r="AN33" i="42"/>
  <c r="AM33" i="42"/>
  <c r="AL33" i="42"/>
  <c r="AO32" i="42"/>
  <c r="AM32" i="42"/>
  <c r="AL32" i="42"/>
  <c r="AO31" i="42"/>
  <c r="AN31" i="42"/>
  <c r="AL31" i="42"/>
  <c r="AO30" i="42"/>
  <c r="AN30" i="42"/>
  <c r="AM30" i="42"/>
  <c r="AN60" i="42"/>
  <c r="AL60" i="42"/>
  <c r="AO59" i="42"/>
  <c r="AM59" i="42"/>
  <c r="AN58" i="42"/>
  <c r="AL58" i="42"/>
  <c r="AO57" i="42"/>
  <c r="AM57" i="42"/>
  <c r="AN51" i="42"/>
  <c r="AM51" i="42"/>
  <c r="AO50" i="42"/>
  <c r="AL50" i="42"/>
  <c r="AO49" i="42"/>
  <c r="AL49" i="42"/>
  <c r="AN48" i="42"/>
  <c r="AM48" i="42"/>
  <c r="AN42" i="42"/>
  <c r="AN24" i="42"/>
  <c r="AM24" i="42"/>
  <c r="AL24" i="42"/>
  <c r="AO23" i="42"/>
  <c r="AM23" i="42"/>
  <c r="AL23" i="42"/>
  <c r="AO22" i="42"/>
  <c r="AN22" i="42"/>
  <c r="AL22" i="42"/>
  <c r="AO21" i="42"/>
  <c r="AN21" i="42"/>
  <c r="AM21" i="42"/>
  <c r="AN15" i="42"/>
  <c r="AM15" i="42"/>
  <c r="AL15" i="42"/>
  <c r="AO14" i="42"/>
  <c r="AM14" i="42"/>
  <c r="AL14" i="42"/>
  <c r="AO13" i="42"/>
  <c r="AN13" i="42"/>
  <c r="AL13" i="42"/>
  <c r="AO12" i="42"/>
  <c r="AN12" i="42"/>
  <c r="AM12" i="42"/>
  <c r="E16" i="43" l="1"/>
  <c r="E36" i="43"/>
  <c r="E40" i="43" s="1"/>
  <c r="D36" i="43"/>
  <c r="D38" i="43" s="1"/>
  <c r="D40" i="43" s="1"/>
  <c r="D42" i="43" s="1"/>
  <c r="D16" i="43"/>
  <c r="D18" i="43" s="1"/>
  <c r="D20" i="43" s="1"/>
  <c r="D22" i="43" s="1"/>
  <c r="D24" i="43" s="1"/>
  <c r="D26" i="43" s="1"/>
  <c r="D28" i="43" s="1"/>
  <c r="E18" i="43"/>
  <c r="E22" i="43" s="1"/>
  <c r="E26" i="43" s="1"/>
  <c r="O59" i="42"/>
  <c r="O60" i="42" s="1"/>
  <c r="O58" i="42"/>
  <c r="O57" i="42"/>
  <c r="O56" i="42"/>
  <c r="O55" i="42"/>
  <c r="E59" i="42"/>
  <c r="E60" i="42" s="1"/>
  <c r="E58" i="42"/>
  <c r="E57" i="42"/>
  <c r="E56" i="42"/>
  <c r="E55" i="42"/>
  <c r="O49" i="42"/>
  <c r="O50" i="42" s="1"/>
  <c r="O48" i="42"/>
  <c r="O47" i="42"/>
  <c r="O46" i="42"/>
  <c r="O45" i="42"/>
  <c r="E49" i="42"/>
  <c r="E50" i="42" s="1"/>
  <c r="E48" i="42"/>
  <c r="E47" i="42"/>
  <c r="E46" i="42"/>
  <c r="D46" i="42"/>
  <c r="E45" i="42"/>
  <c r="O40" i="42"/>
  <c r="O39" i="42"/>
  <c r="O38" i="42"/>
  <c r="O37" i="42"/>
  <c r="O36" i="42"/>
  <c r="N36" i="42"/>
  <c r="O35" i="42"/>
  <c r="N35" i="42"/>
  <c r="E39" i="42"/>
  <c r="E40" i="42" s="1"/>
  <c r="E38" i="42"/>
  <c r="E37" i="42"/>
  <c r="E36" i="42"/>
  <c r="D36" i="42"/>
  <c r="E35" i="42"/>
  <c r="D35" i="42"/>
  <c r="O29" i="42"/>
  <c r="O30" i="42" s="1"/>
  <c r="O28" i="42"/>
  <c r="O27" i="42"/>
  <c r="O26" i="42"/>
  <c r="N26" i="42"/>
  <c r="O25" i="42"/>
  <c r="N25" i="42"/>
  <c r="E29" i="42"/>
  <c r="E30" i="42" s="1"/>
  <c r="E28" i="42"/>
  <c r="E27" i="42"/>
  <c r="E26" i="42"/>
  <c r="D26" i="42"/>
  <c r="E25" i="42"/>
  <c r="D25" i="42"/>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E20" i="43" l="1"/>
  <c r="E24" i="43" s="1"/>
  <c r="E28" i="43" s="1"/>
  <c r="E38" i="43" s="1"/>
  <c r="E42" i="43"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42"/>
  <c r="E1" i="38"/>
  <c r="E1" i="43"/>
  <c r="E1" i="45"/>
  <c r="E1" i="64"/>
  <c r="E1" i="46"/>
  <c r="T3" i="64" l="1"/>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K118" i="45"/>
  <c r="L20" i="45"/>
  <c r="L18" i="45"/>
  <c r="AQ11" i="43"/>
  <c r="AK154" i="45"/>
  <c r="AK119" i="45"/>
  <c r="AH94" i="45"/>
  <c r="AH92" i="45"/>
  <c r="AH90" i="45"/>
  <c r="AH89" i="45"/>
  <c r="AH85" i="45"/>
  <c r="AH84" i="45"/>
  <c r="AH82" i="45"/>
  <c r="AH81" i="45"/>
  <c r="AH80" i="45"/>
  <c r="D60" i="64" a="1"/>
  <c r="T58" i="64" a="1"/>
  <c r="D55" i="64" a="1"/>
  <c r="D46" i="64" a="1"/>
  <c r="D46" i="64" l="1"/>
  <c r="R53" i="64"/>
  <c r="R51" i="64"/>
  <c r="D55" i="64"/>
  <c r="T58" i="64"/>
  <c r="R56" i="64" s="1"/>
  <c r="R66" i="64"/>
  <c r="R70" i="64"/>
  <c r="D60" i="64"/>
  <c r="T68" i="64"/>
  <c r="S72" i="64"/>
  <c r="T73" i="64" s="1"/>
  <c r="AC148" i="43"/>
  <c r="AB73" i="45"/>
  <c r="AB69" i="45"/>
  <c r="AB61" i="45"/>
  <c r="AR169" i="43"/>
  <c r="AR168" i="43"/>
  <c r="AR167" i="43"/>
  <c r="AR166" i="43"/>
  <c r="AR165" i="43"/>
  <c r="AR164" i="43"/>
  <c r="AC170" i="43"/>
  <c r="AC169" i="43"/>
  <c r="AC151" i="43"/>
  <c r="AC138" i="43"/>
  <c r="AC117" i="43"/>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BA74" i="43"/>
  <c r="BA75" i="43" s="1"/>
  <c r="BA76" i="43" s="1"/>
  <c r="BA77" i="43" s="1"/>
  <c r="BA78" i="43" s="1"/>
  <c r="BA79" i="43" s="1"/>
  <c r="BA80" i="43" s="1"/>
  <c r="BA81" i="43" s="1"/>
  <c r="BA82" i="43" s="1"/>
  <c r="BA83" i="43" s="1"/>
  <c r="BA84" i="43" s="1"/>
  <c r="BA85" i="43" s="1"/>
  <c r="BA86" i="43" s="1"/>
  <c r="BA87" i="43" s="1"/>
  <c r="BA88" i="43" s="1"/>
  <c r="BA89" i="43" s="1"/>
  <c r="BA90" i="43" s="1"/>
  <c r="BA91" i="43" s="1"/>
  <c r="BA92" i="43" s="1"/>
  <c r="BA93" i="43" s="1"/>
  <c r="BA94" i="43" s="1"/>
  <c r="BA95" i="43" s="1"/>
  <c r="BA96" i="43" s="1"/>
  <c r="BA97" i="43" s="1"/>
  <c r="BA98" i="43" s="1"/>
  <c r="BA99" i="43" s="1"/>
  <c r="BA100" i="43" s="1"/>
  <c r="BA101" i="43" s="1"/>
  <c r="BA102" i="43" s="1"/>
  <c r="BA103" i="43" s="1"/>
  <c r="BA104" i="43" s="1"/>
  <c r="BA105" i="43" s="1"/>
  <c r="BA52" i="43"/>
  <c r="BA53" i="43" s="1"/>
  <c r="BA54" i="43" s="1"/>
  <c r="BA55" i="43" s="1"/>
  <c r="BA56" i="43" s="1"/>
  <c r="BA57" i="43" s="1"/>
  <c r="BA58" i="43" s="1"/>
  <c r="BA59" i="43" s="1"/>
  <c r="BA60" i="43" s="1"/>
  <c r="BA61" i="43" s="1"/>
  <c r="BA62" i="43" s="1"/>
  <c r="BA63" i="43" s="1"/>
  <c r="BA64" i="43" s="1"/>
  <c r="BA65" i="43" s="1"/>
  <c r="BA66" i="43" s="1"/>
  <c r="BA67" i="43" s="1"/>
  <c r="BA68" i="43" s="1"/>
  <c r="BA69" i="43" s="1"/>
  <c r="BA70" i="43" s="1"/>
  <c r="BA71" i="43" s="1"/>
  <c r="BA30" i="43"/>
  <c r="BA31" i="43" s="1"/>
  <c r="BA32" i="43" s="1"/>
  <c r="BA33" i="43" s="1"/>
  <c r="BA34" i="43" s="1"/>
  <c r="BA35" i="43" s="1"/>
  <c r="BA36" i="43" s="1"/>
  <c r="BA37" i="43" s="1"/>
  <c r="BA38" i="43" s="1"/>
  <c r="BA39" i="43" s="1"/>
  <c r="BA40" i="43" s="1"/>
  <c r="BA41" i="43" s="1"/>
  <c r="BA42" i="43" s="1"/>
  <c r="BA43" i="43" s="1"/>
  <c r="BA44" i="43" s="1"/>
  <c r="BA45" i="43" s="1"/>
  <c r="BA46" i="43" s="1"/>
  <c r="BA47" i="43" s="1"/>
  <c r="BA48" i="43" s="1"/>
  <c r="BA49" i="43" s="1"/>
  <c r="BA13" i="43"/>
  <c r="BA14" i="43" s="1"/>
  <c r="BA15" i="43" s="1"/>
  <c r="BA16" i="43" s="1"/>
  <c r="BA17" i="43" s="1"/>
  <c r="BA18" i="43" s="1"/>
  <c r="BA19" i="43" s="1"/>
  <c r="BA20" i="43" s="1"/>
  <c r="BA21" i="43" s="1"/>
  <c r="BA22" i="43" s="1"/>
  <c r="BA23" i="43" s="1"/>
  <c r="BA24" i="43" s="1"/>
  <c r="BA25" i="43" s="1"/>
  <c r="BA26" i="43" s="1"/>
  <c r="BA27" i="43" s="1"/>
  <c r="BA12" i="43"/>
  <c r="BA108" i="43"/>
  <c r="BA109" i="43" s="1"/>
  <c r="BA110" i="43" s="1"/>
  <c r="BA111" i="43" s="1"/>
  <c r="BA112" i="43" s="1"/>
  <c r="BA113" i="43" s="1"/>
  <c r="BA114" i="43" s="1"/>
  <c r="BA115" i="43" s="1"/>
  <c r="BA116" i="43" s="1"/>
  <c r="BA117" i="43" s="1"/>
  <c r="BA118" i="43" s="1"/>
  <c r="BA119" i="43" s="1"/>
  <c r="BA120" i="43" s="1"/>
  <c r="BA121" i="43" s="1"/>
  <c r="BA122" i="43" s="1"/>
  <c r="BA123" i="43" s="1"/>
  <c r="BA124" i="43" s="1"/>
  <c r="BA125" i="43" s="1"/>
  <c r="BA126" i="43" s="1"/>
  <c r="BA127" i="43" s="1"/>
  <c r="BA128" i="43" s="1"/>
  <c r="BA129" i="43" s="1"/>
  <c r="BA130" i="43" s="1"/>
  <c r="BA131" i="43" s="1"/>
  <c r="BA132" i="43" s="1"/>
  <c r="BA133" i="43" s="1"/>
  <c r="BA134" i="43" s="1"/>
  <c r="BA135" i="43" s="1"/>
  <c r="BA136" i="43" s="1"/>
  <c r="BA137" i="43" s="1"/>
  <c r="BA138" i="43" s="1"/>
  <c r="BA139" i="43" s="1"/>
  <c r="AL108" i="43"/>
  <c r="AK108" i="43"/>
  <c r="AL105" i="43"/>
  <c r="AK105" i="43"/>
  <c r="AL101" i="43"/>
  <c r="AK101" i="43"/>
  <c r="AQ12" i="43"/>
  <c r="D46" i="43"/>
  <c r="D48" i="43" s="1"/>
  <c r="AO75" i="42"/>
  <c r="AN76" i="42"/>
  <c r="AM77" i="42"/>
  <c r="AL78" i="42"/>
  <c r="AM78" i="42"/>
  <c r="AO76" i="42"/>
  <c r="AN75" i="42"/>
  <c r="AL77" i="42"/>
  <c r="AM75" i="42"/>
  <c r="AL76" i="42"/>
  <c r="AN78" i="42"/>
  <c r="AO77" i="42"/>
  <c r="AO66" i="42"/>
  <c r="AN67" i="42"/>
  <c r="AM68" i="42"/>
  <c r="AL69" i="42"/>
  <c r="AN66" i="42"/>
  <c r="AL68" i="42"/>
  <c r="AO67" i="42"/>
  <c r="AM69" i="42"/>
  <c r="AM66" i="42"/>
  <c r="AL67" i="42"/>
  <c r="AN69" i="42"/>
  <c r="AO68" i="42"/>
  <c r="P59" i="42"/>
  <c r="P60" i="42"/>
  <c r="P58" i="42"/>
  <c r="P57" i="42"/>
  <c r="P56" i="42"/>
  <c r="P55" i="42"/>
  <c r="F60" i="42"/>
  <c r="F58" i="42"/>
  <c r="F57" i="42"/>
  <c r="F56" i="42"/>
  <c r="F55" i="42"/>
  <c r="P50" i="42"/>
  <c r="P48" i="42"/>
  <c r="P47" i="42"/>
  <c r="P46" i="42"/>
  <c r="P45" i="42"/>
  <c r="F50" i="42"/>
  <c r="F48" i="42"/>
  <c r="F47" i="42"/>
  <c r="F46" i="42"/>
  <c r="F45" i="42"/>
  <c r="P40" i="42"/>
  <c r="P38" i="42"/>
  <c r="P37" i="42"/>
  <c r="P36" i="42"/>
  <c r="P35" i="42"/>
  <c r="F40" i="42"/>
  <c r="F39" i="42"/>
  <c r="F38" i="42"/>
  <c r="F37" i="42"/>
  <c r="F36" i="42"/>
  <c r="F35" i="42"/>
  <c r="P30" i="42"/>
  <c r="P28" i="42"/>
  <c r="P27" i="42"/>
  <c r="P26" i="42"/>
  <c r="P25" i="42"/>
  <c r="F30" i="42"/>
  <c r="F29" i="42"/>
  <c r="F28" i="42"/>
  <c r="F27" i="42"/>
  <c r="F26" i="42"/>
  <c r="F25" i="42"/>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43"/>
  <c r="F14" i="43"/>
  <c r="F59" i="42"/>
  <c r="P49" i="42"/>
  <c r="F49" i="42"/>
  <c r="P39" i="42"/>
  <c r="P29" i="42"/>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22" i="43"/>
  <c r="F16" i="43"/>
  <c r="S15" i="45"/>
  <c r="S13" i="45"/>
  <c r="T99" i="64" a="1"/>
  <c r="D96" i="64" a="1"/>
  <c r="T106" i="64" l="1" a="1"/>
  <c r="T106" i="64" s="1"/>
  <c r="O217" i="64" s="1"/>
  <c r="R102" i="64"/>
  <c r="R106" i="64"/>
  <c r="D96" i="64"/>
  <c r="T99" i="64"/>
  <c r="R98" i="64" s="1"/>
  <c r="T104" i="64"/>
  <c r="S108" i="64"/>
  <c r="T109" i="64" s="1"/>
  <c r="T108" i="64" s="1" a="1"/>
  <c r="T108" i="64" s="1"/>
  <c r="D91" i="64" a="1"/>
  <c r="D91" i="64" s="1"/>
  <c r="R92" i="64"/>
  <c r="R93" i="64"/>
  <c r="R91" i="64"/>
  <c r="F26" i="43"/>
  <c r="F20" i="43"/>
  <c r="T105" i="64" a="1"/>
  <c r="D102" i="64" a="1"/>
  <c r="R112" i="64" l="1"/>
  <c r="T112" i="64" a="1"/>
  <c r="T112" i="64" s="1"/>
  <c r="O218" i="64" s="1"/>
  <c r="R108" i="64"/>
  <c r="D97" i="64" a="1"/>
  <c r="D97" i="64" s="1"/>
  <c r="R97" i="64"/>
  <c r="R99" i="64"/>
  <c r="D102" i="64"/>
  <c r="T105" i="64"/>
  <c r="T110" i="64"/>
  <c r="S114" i="64"/>
  <c r="T115" i="64" s="1"/>
  <c r="T114" i="64" s="1" a="1"/>
  <c r="T114" i="64" s="1"/>
  <c r="F36" i="43"/>
  <c r="F40" i="43"/>
  <c r="F24" i="43"/>
  <c r="D108" i="64" a="1"/>
  <c r="T111" i="64" a="1"/>
  <c r="R118" i="64" l="1"/>
  <c r="R114" i="64"/>
  <c r="T118" i="64" a="1"/>
  <c r="T118" i="64" s="1"/>
  <c r="O219" i="64" s="1"/>
  <c r="T111" i="64"/>
  <c r="D108" i="64"/>
  <c r="T116" i="64"/>
  <c r="S120" i="64"/>
  <c r="R103" i="64"/>
  <c r="D103" i="64" a="1"/>
  <c r="D103" i="64" s="1"/>
  <c r="R104" i="64"/>
  <c r="R105" i="64"/>
  <c r="F28" i="43"/>
  <c r="T117" i="64" a="1"/>
  <c r="D114" i="64" a="1"/>
  <c r="T121" i="64" l="1"/>
  <c r="T120" i="64" s="1" a="1"/>
  <c r="T120" i="64" s="1"/>
  <c r="D114" i="64"/>
  <c r="T117" i="64"/>
  <c r="D109" i="64" a="1"/>
  <c r="D109" i="64" s="1"/>
  <c r="R110" i="64"/>
  <c r="R109" i="64"/>
  <c r="R111" i="64"/>
  <c r="F38" i="43"/>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43"/>
  <c r="E46" i="43"/>
  <c r="A6" i="62"/>
  <c r="A6" i="61"/>
  <c r="A6" i="63"/>
  <c r="Q215" i="64" l="1"/>
  <c r="T114" i="46" s="1"/>
  <c r="T115" i="46"/>
  <c r="R121" i="64"/>
  <c r="R122" i="64"/>
  <c r="R123" i="64"/>
  <c r="E48" i="43"/>
  <c r="E52" i="43" s="1"/>
  <c r="F46" i="43"/>
  <c r="S131" i="64" l="1"/>
  <c r="S134" i="64" s="1"/>
  <c r="W115" i="46"/>
  <c r="T116" i="46" s="1"/>
  <c r="F48" i="43"/>
  <c r="AD55" i="46"/>
  <c r="U85" i="46" s="1"/>
  <c r="AC55" i="46"/>
  <c r="Z55" i="46"/>
  <c r="Y58" i="46"/>
  <c r="AF58" i="46" s="1"/>
  <c r="Y57" i="46"/>
  <c r="AC57" i="46" s="1"/>
  <c r="Y56" i="46"/>
  <c r="AL123" i="45" s="1"/>
  <c r="B129" i="46"/>
  <c r="AG153" i="45" l="1"/>
  <c r="AG146" i="45"/>
  <c r="AG152" i="45"/>
  <c r="AG147" i="45"/>
  <c r="AG151" i="45"/>
  <c r="AG148" i="45"/>
  <c r="AG150" i="45"/>
  <c r="AG149" i="45"/>
  <c r="I124" i="46"/>
  <c r="H124" i="46"/>
  <c r="K124" i="46"/>
  <c r="J124" i="46"/>
  <c r="G124" i="46"/>
  <c r="Y114" i="46"/>
  <c r="Y115" i="46"/>
  <c r="Y116" i="46"/>
  <c r="T71" i="64"/>
  <c r="T119" i="64"/>
  <c r="T125" i="64"/>
  <c r="T107" i="64"/>
  <c r="T113" i="64"/>
  <c r="T95" i="64"/>
  <c r="T101" i="64"/>
  <c r="T83" i="64"/>
  <c r="T89" i="64"/>
  <c r="T77" i="64"/>
  <c r="T65" i="64"/>
  <c r="F52" i="43"/>
  <c r="E56" i="43"/>
  <c r="F56" i="43" s="1"/>
  <c r="AA58" i="46"/>
  <c r="U81" i="46"/>
  <c r="Z57" i="46"/>
  <c r="AD57" i="46"/>
  <c r="AA57" i="46"/>
  <c r="AE57" i="46"/>
  <c r="AD58" i="46"/>
  <c r="AB58" i="46"/>
  <c r="AC58" i="46"/>
  <c r="AE58" i="46"/>
  <c r="Z58" i="46"/>
  <c r="U75" i="46" l="1"/>
  <c r="U95" i="46"/>
  <c r="U91" i="46"/>
  <c r="U71" i="46"/>
  <c r="AQ156" i="43"/>
  <c r="AQ157" i="43" s="1"/>
  <c r="AQ158" i="43" s="1"/>
  <c r="AQ159" i="43" s="1"/>
  <c r="AQ160" i="43" s="1"/>
  <c r="AQ161" i="43" s="1"/>
  <c r="AQ162" i="43" s="1"/>
  <c r="AQ163" i="43" s="1"/>
  <c r="AQ164" i="43" s="1"/>
  <c r="AQ165" i="43" s="1"/>
  <c r="AQ166" i="43" s="1"/>
  <c r="AQ167" i="43" s="1"/>
  <c r="AQ168" i="43" s="1"/>
  <c r="AQ169" i="43" s="1"/>
  <c r="T72" i="45" l="1"/>
  <c r="T71" i="45"/>
  <c r="S67" i="45" s="1"/>
  <c r="S66" i="45" s="1"/>
  <c r="S51" i="45" l="1"/>
  <c r="S53" i="45" s="1"/>
  <c r="S59" i="45"/>
  <c r="S60" i="45" s="1"/>
  <c r="S63" i="45"/>
  <c r="S64" i="45" s="1"/>
  <c r="S55" i="45"/>
  <c r="S56" i="45" s="1"/>
  <c r="S68" i="45"/>
  <c r="S50" i="45" l="1"/>
  <c r="S52" i="45"/>
  <c r="S54" i="45"/>
  <c r="S58" i="45"/>
  <c r="S62" i="45"/>
  <c r="AK123" i="45" l="1"/>
  <c r="AK124" i="45" s="1"/>
  <c r="AK125" i="45" s="1"/>
  <c r="AK126" i="45" s="1"/>
  <c r="AK127" i="45" s="1"/>
  <c r="AK128" i="45" s="1"/>
  <c r="AK129" i="45" s="1"/>
  <c r="AK130" i="45" s="1"/>
  <c r="AK131" i="45" s="1"/>
  <c r="AK132" i="45" s="1"/>
  <c r="AK133" i="45" l="1"/>
  <c r="AK134" i="45" l="1"/>
  <c r="AK135" i="45" s="1"/>
  <c r="AK136" i="45" s="1"/>
  <c r="AK137" i="45" s="1"/>
  <c r="AK138" i="45" s="1"/>
  <c r="AK139" i="45" s="1"/>
  <c r="AK140" i="45" s="1"/>
  <c r="AK141" i="45" s="1"/>
  <c r="AK142" i="45" s="1"/>
  <c r="AK143" i="45" s="1"/>
  <c r="AK144" i="45" s="1"/>
  <c r="AK145" i="45" s="1"/>
  <c r="AK146" i="45" s="1"/>
  <c r="AK147" i="45" s="1"/>
  <c r="AK148" i="45" s="1"/>
  <c r="AK149" i="45" s="1"/>
  <c r="AK150" i="45" s="1"/>
  <c r="AK151" i="45" s="1"/>
  <c r="AK152" i="45" s="1"/>
  <c r="AK153" i="45" s="1"/>
  <c r="AR52" i="43" l="1"/>
  <c r="AR51" i="43"/>
  <c r="AR50" i="43"/>
  <c r="AR49" i="43"/>
  <c r="AR47" i="43"/>
  <c r="AR46" i="43"/>
  <c r="AR45" i="43"/>
  <c r="AR44" i="43"/>
  <c r="AR42" i="43"/>
  <c r="AR41" i="43"/>
  <c r="AR40" i="43"/>
  <c r="AR39" i="43"/>
  <c r="AR37" i="43"/>
  <c r="AR36" i="43"/>
  <c r="AR35" i="43"/>
  <c r="AR34" i="43"/>
  <c r="AR32" i="43"/>
  <c r="AR31" i="43"/>
  <c r="AR30" i="43"/>
  <c r="AR29" i="43"/>
  <c r="AR27" i="43"/>
  <c r="AR26" i="43"/>
  <c r="AR25" i="43"/>
  <c r="AR24" i="43"/>
  <c r="AR22" i="43"/>
  <c r="AR21" i="43"/>
  <c r="AR20" i="43"/>
  <c r="AR19" i="43"/>
  <c r="AR16" i="43"/>
  <c r="AR15" i="43"/>
  <c r="AB111" i="43"/>
  <c r="AO108" i="43"/>
  <c r="AM108" i="43"/>
  <c r="AI108" i="43"/>
  <c r="AG108" i="43"/>
  <c r="AB108" i="43"/>
  <c r="AO105" i="43"/>
  <c r="AM105" i="43"/>
  <c r="AI105" i="43"/>
  <c r="AG105" i="43"/>
  <c r="AB105" i="43"/>
  <c r="AO101" i="43"/>
  <c r="AM101" i="43"/>
  <c r="AI101" i="43"/>
  <c r="AG101" i="43"/>
  <c r="AB101" i="43"/>
  <c r="AO95" i="43"/>
  <c r="AM95" i="43"/>
  <c r="AL95" i="43"/>
  <c r="AK95" i="43"/>
  <c r="AI95" i="43"/>
  <c r="AG95" i="43"/>
  <c r="AB95" i="43"/>
  <c r="AE85" i="43"/>
  <c r="AC85" i="43"/>
  <c r="AJ30" i="43"/>
  <c r="AN14" i="43"/>
  <c r="AN16" i="43"/>
  <c r="AN18" i="43"/>
  <c r="AN20" i="43"/>
  <c r="AN22" i="43"/>
  <c r="AN24" i="43"/>
  <c r="AN26" i="43"/>
  <c r="AN28" i="43"/>
  <c r="AN36" i="43"/>
  <c r="AN38" i="43"/>
  <c r="AN40" i="43"/>
  <c r="AN42" i="43"/>
  <c r="AN46" i="43"/>
  <c r="AN48" i="43"/>
  <c r="AN56" i="43"/>
  <c r="X8" i="38" l="1"/>
  <c r="X12" i="38" s="1"/>
  <c r="E101" i="63" l="1"/>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D134" i="63"/>
  <c r="D100" i="63"/>
  <c r="A135" i="63"/>
  <c r="C101" i="63"/>
  <c r="C135" i="63"/>
  <c r="C102" i="63"/>
  <c r="C133" i="63"/>
  <c r="C132" i="63"/>
  <c r="D132" i="63" l="1"/>
  <c r="D133" i="63"/>
  <c r="D101" i="63"/>
  <c r="D102" i="63"/>
  <c r="A197" i="63"/>
  <c r="A165" i="63"/>
  <c r="A104" i="63"/>
  <c r="D135" i="63"/>
  <c r="A228" i="63"/>
  <c r="A260" i="63" s="1"/>
  <c r="A136" i="63"/>
  <c r="C103" i="63"/>
  <c r="C136" i="63"/>
  <c r="C260" i="63"/>
  <c r="C164" i="63"/>
  <c r="C196" i="63"/>
  <c r="D164" i="63" l="1"/>
  <c r="D196" i="63"/>
  <c r="D103" i="63"/>
  <c r="A166" i="63"/>
  <c r="A198" i="63"/>
  <c r="A229" i="63"/>
  <c r="A105" i="63"/>
  <c r="AB96" i="43"/>
  <c r="D136" i="63"/>
  <c r="D260" i="63"/>
  <c r="A261" i="63"/>
  <c r="A292" i="63"/>
  <c r="A230" i="63"/>
  <c r="A137" i="63"/>
  <c r="C261" i="63"/>
  <c r="C197" i="63"/>
  <c r="C165" i="63"/>
  <c r="C137" i="63"/>
  <c r="C229" i="63"/>
  <c r="C228" i="63"/>
  <c r="C292" i="63"/>
  <c r="C104" i="63"/>
  <c r="D104" i="63" l="1"/>
  <c r="D228" i="63"/>
  <c r="D197" i="63"/>
  <c r="D165" i="63"/>
  <c r="A106" i="63"/>
  <c r="A199" i="63"/>
  <c r="A167" i="63"/>
  <c r="AB97" i="43"/>
  <c r="D137" i="63"/>
  <c r="D292" i="63"/>
  <c r="D261" i="63"/>
  <c r="A324" i="63"/>
  <c r="A293" i="63"/>
  <c r="A262" i="63"/>
  <c r="D229" i="63"/>
  <c r="A231" i="63"/>
  <c r="A138" i="63"/>
  <c r="C230" i="63"/>
  <c r="C324" i="63"/>
  <c r="C138" i="63"/>
  <c r="C166" i="63"/>
  <c r="C198" i="63"/>
  <c r="C293" i="63"/>
  <c r="C105" i="63"/>
  <c r="C262" i="63"/>
  <c r="D105" i="63" l="1"/>
  <c r="D166" i="63"/>
  <c r="D198" i="63"/>
  <c r="A168" i="63"/>
  <c r="A107" i="63"/>
  <c r="A200" i="63"/>
  <c r="AB98" i="43"/>
  <c r="D138" i="63"/>
  <c r="D262" i="63"/>
  <c r="D293" i="63"/>
  <c r="D324" i="63"/>
  <c r="A263" i="63"/>
  <c r="A294" i="63"/>
  <c r="A325" i="63"/>
  <c r="A356" i="63"/>
  <c r="D230" i="63"/>
  <c r="A232" i="63"/>
  <c r="A139" i="63"/>
  <c r="C356" i="63"/>
  <c r="C263" i="63"/>
  <c r="C139" i="63"/>
  <c r="C325" i="63"/>
  <c r="C106" i="63"/>
  <c r="C231" i="63"/>
  <c r="C199" i="63"/>
  <c r="C167" i="63"/>
  <c r="C294" i="63"/>
  <c r="D199" i="63" l="1"/>
  <c r="D167" i="63"/>
  <c r="D106" i="63"/>
  <c r="A169" i="63"/>
  <c r="A201" i="63"/>
  <c r="A108" i="63"/>
  <c r="AB99" i="43"/>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64" i="63"/>
  <c r="C357" i="63"/>
  <c r="C107" i="63"/>
  <c r="C200" i="63"/>
  <c r="C232" i="63"/>
  <c r="C295" i="63"/>
  <c r="C140" i="63"/>
  <c r="C168" i="63"/>
  <c r="C326" i="63"/>
  <c r="C388" i="63"/>
  <c r="D200" i="63" l="1"/>
  <c r="D168" i="63"/>
  <c r="D107" i="63"/>
  <c r="A109" i="63"/>
  <c r="A202" i="63"/>
  <c r="A170" i="63"/>
  <c r="AB102" i="43"/>
  <c r="D295" i="63"/>
  <c r="D140" i="63"/>
  <c r="D388" i="63"/>
  <c r="D326" i="63"/>
  <c r="D357" i="63"/>
  <c r="D264" i="63"/>
  <c r="A296" i="63"/>
  <c r="A389" i="63"/>
  <c r="A327" i="63"/>
  <c r="A358" i="63"/>
  <c r="A265" i="63"/>
  <c r="D232" i="63"/>
  <c r="A234" i="63"/>
  <c r="A141" i="63"/>
  <c r="C141" i="63"/>
  <c r="C327" i="63"/>
  <c r="C201" i="63"/>
  <c r="C265" i="63"/>
  <c r="C358" i="63"/>
  <c r="C296" i="63"/>
  <c r="C169" i="63"/>
  <c r="C389" i="63"/>
  <c r="C233" i="63"/>
  <c r="C108" i="63"/>
  <c r="D108" i="63" l="1"/>
  <c r="D169" i="63"/>
  <c r="D201" i="63"/>
  <c r="A110" i="63"/>
  <c r="A171" i="63"/>
  <c r="A203" i="63"/>
  <c r="AB103" i="43"/>
  <c r="AB106" i="43"/>
  <c r="D327" i="63"/>
  <c r="D389" i="63"/>
  <c r="D296" i="63"/>
  <c r="D141" i="63"/>
  <c r="D265" i="63"/>
  <c r="D358" i="63"/>
  <c r="A328" i="63"/>
  <c r="A390" i="63"/>
  <c r="A297" i="63"/>
  <c r="A266" i="63"/>
  <c r="A359" i="63"/>
  <c r="D233" i="63"/>
  <c r="A235" i="63"/>
  <c r="A142" i="63"/>
  <c r="C266" i="63"/>
  <c r="C297" i="63"/>
  <c r="C142" i="63"/>
  <c r="C170" i="63"/>
  <c r="C359" i="63"/>
  <c r="C109" i="63"/>
  <c r="C390" i="63"/>
  <c r="C328" i="63"/>
  <c r="C234" i="63"/>
  <c r="C202" i="63"/>
  <c r="D109" i="63" l="1"/>
  <c r="D170" i="63"/>
  <c r="D202" i="63"/>
  <c r="A111" i="63"/>
  <c r="A204" i="63"/>
  <c r="A172" i="63"/>
  <c r="D297" i="63"/>
  <c r="D390" i="63"/>
  <c r="D328" i="63"/>
  <c r="D142" i="63"/>
  <c r="D359" i="63"/>
  <c r="D266" i="63"/>
  <c r="A298" i="63"/>
  <c r="A391" i="63"/>
  <c r="A329" i="63"/>
  <c r="A360" i="63"/>
  <c r="A267" i="63"/>
  <c r="D234" i="63"/>
  <c r="A236" i="63"/>
  <c r="A143" i="63"/>
  <c r="C329" i="63"/>
  <c r="C203" i="63"/>
  <c r="C143" i="63"/>
  <c r="C171" i="63"/>
  <c r="C267" i="63"/>
  <c r="C360" i="63"/>
  <c r="C298" i="63"/>
  <c r="C235" i="63"/>
  <c r="C391" i="63"/>
  <c r="C110" i="63"/>
  <c r="D203" i="63" l="1"/>
  <c r="D110" i="63"/>
  <c r="D171" i="63"/>
  <c r="A205" i="63"/>
  <c r="A173" i="63"/>
  <c r="A112" i="63"/>
  <c r="D143" i="63"/>
  <c r="D267" i="63"/>
  <c r="D360" i="63"/>
  <c r="D298" i="63"/>
  <c r="D329" i="63"/>
  <c r="D391" i="63"/>
  <c r="A268" i="63"/>
  <c r="A361" i="63"/>
  <c r="A299" i="63"/>
  <c r="A330" i="63"/>
  <c r="A392" i="63"/>
  <c r="D235" i="63"/>
  <c r="A237" i="63"/>
  <c r="A144" i="63"/>
  <c r="C236" i="63"/>
  <c r="C299" i="63"/>
  <c r="C361" i="63"/>
  <c r="C144" i="63"/>
  <c r="C111" i="63"/>
  <c r="C392" i="63"/>
  <c r="C204" i="63"/>
  <c r="C172" i="63"/>
  <c r="C268" i="63"/>
  <c r="C330" i="63"/>
  <c r="D204" i="63" l="1"/>
  <c r="D111" i="63"/>
  <c r="D172" i="63"/>
  <c r="A113" i="63"/>
  <c r="A174" i="63"/>
  <c r="A206" i="63"/>
  <c r="D268" i="63"/>
  <c r="D361" i="63"/>
  <c r="D299" i="63"/>
  <c r="D144" i="63"/>
  <c r="D392" i="63"/>
  <c r="D330" i="63"/>
  <c r="A269" i="63"/>
  <c r="A362" i="63"/>
  <c r="A300" i="63"/>
  <c r="A393" i="63"/>
  <c r="A331" i="63"/>
  <c r="D236" i="63"/>
  <c r="A238" i="63"/>
  <c r="A145" i="63"/>
  <c r="P72" i="25"/>
  <c r="C112" i="63"/>
  <c r="C362" i="63"/>
  <c r="C145" i="63"/>
  <c r="C393" i="63"/>
  <c r="C237" i="63"/>
  <c r="C269" i="63"/>
  <c r="C331" i="63"/>
  <c r="C205" i="63"/>
  <c r="C173" i="63"/>
  <c r="C300" i="63"/>
  <c r="D205" i="63" l="1"/>
  <c r="D173" i="63"/>
  <c r="D112" i="63"/>
  <c r="A175" i="63"/>
  <c r="A114" i="63"/>
  <c r="A207" i="63"/>
  <c r="D362" i="63"/>
  <c r="D393" i="63"/>
  <c r="D269" i="63"/>
  <c r="D145" i="63"/>
  <c r="D331" i="63"/>
  <c r="D300" i="63"/>
  <c r="A363" i="63"/>
  <c r="A394" i="63"/>
  <c r="A270" i="63"/>
  <c r="A332" i="63"/>
  <c r="A301" i="63"/>
  <c r="D237" i="63"/>
  <c r="A239" i="63"/>
  <c r="A146" i="63"/>
  <c r="C301" i="63"/>
  <c r="C238" i="63"/>
  <c r="C174" i="63"/>
  <c r="C270" i="63"/>
  <c r="C363" i="63"/>
  <c r="C206" i="63"/>
  <c r="C113" i="63"/>
  <c r="C332" i="63"/>
  <c r="C146" i="63"/>
  <c r="C394" i="63"/>
  <c r="D206" i="63" l="1"/>
  <c r="D113" i="63"/>
  <c r="D174" i="63"/>
  <c r="A115" i="63"/>
  <c r="A176" i="63"/>
  <c r="A208" i="63"/>
  <c r="D363" i="63"/>
  <c r="D146" i="63"/>
  <c r="D301" i="63"/>
  <c r="D332" i="63"/>
  <c r="D270" i="63"/>
  <c r="D394" i="63"/>
  <c r="A364" i="63"/>
  <c r="A302" i="63"/>
  <c r="A333" i="63"/>
  <c r="A271" i="63"/>
  <c r="A395" i="63"/>
  <c r="D238" i="63"/>
  <c r="A240" i="63"/>
  <c r="A147" i="63"/>
  <c r="A7" i="63"/>
  <c r="C395" i="63"/>
  <c r="C333" i="63"/>
  <c r="C114" i="63"/>
  <c r="C207" i="63"/>
  <c r="C147" i="63"/>
  <c r="C364" i="63"/>
  <c r="C175" i="63"/>
  <c r="C239" i="63"/>
  <c r="C271" i="63"/>
  <c r="C302" i="63"/>
  <c r="D207" i="63" l="1"/>
  <c r="D175" i="63"/>
  <c r="D114" i="63"/>
  <c r="A177" i="63"/>
  <c r="A116" i="63"/>
  <c r="A209" i="63"/>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03" i="63"/>
  <c r="C365" i="63"/>
  <c r="C115" i="63"/>
  <c r="C396" i="63"/>
  <c r="C208" i="63"/>
  <c r="C272" i="63"/>
  <c r="C240" i="63"/>
  <c r="C334" i="63"/>
  <c r="C176" i="63"/>
  <c r="C148" i="63"/>
  <c r="D115" i="63" l="1"/>
  <c r="D176" i="63"/>
  <c r="D208" i="63"/>
  <c r="A210" i="63"/>
  <c r="A117" i="63"/>
  <c r="A178" i="63"/>
  <c r="D334" i="63"/>
  <c r="D148" i="63"/>
  <c r="D303" i="63"/>
  <c r="D272" i="63"/>
  <c r="D365" i="63"/>
  <c r="D396" i="63"/>
  <c r="A335" i="63"/>
  <c r="A304" i="63"/>
  <c r="A273" i="63"/>
  <c r="A366" i="63"/>
  <c r="A397" i="63"/>
  <c r="D240" i="63"/>
  <c r="A242" i="63"/>
  <c r="A149" i="63"/>
  <c r="C177" i="63"/>
  <c r="C241" i="63"/>
  <c r="C149" i="63"/>
  <c r="C116" i="63"/>
  <c r="C273" i="63"/>
  <c r="C366" i="63"/>
  <c r="C304" i="63"/>
  <c r="C335" i="63"/>
  <c r="C397" i="63"/>
  <c r="C209" i="63"/>
  <c r="D177" i="63" l="1"/>
  <c r="D116" i="63"/>
  <c r="D209" i="63"/>
  <c r="A118" i="63"/>
  <c r="A211" i="63"/>
  <c r="A179" i="63"/>
  <c r="D335" i="63"/>
  <c r="D304" i="63"/>
  <c r="D149" i="63"/>
  <c r="D366" i="63"/>
  <c r="D397" i="63"/>
  <c r="D273" i="63"/>
  <c r="A336" i="63"/>
  <c r="A305" i="63"/>
  <c r="A367" i="63"/>
  <c r="A398" i="63"/>
  <c r="A274" i="63"/>
  <c r="D241" i="63"/>
  <c r="A243" i="63"/>
  <c r="A150" i="63"/>
  <c r="A50" i="43"/>
  <c r="D56" i="43" s="1"/>
  <c r="A31" i="43"/>
  <c r="A51" i="43" s="1"/>
  <c r="A61" i="42"/>
  <c r="A54" i="42"/>
  <c r="A55" i="42" s="1"/>
  <c r="C242" i="63"/>
  <c r="C117" i="63"/>
  <c r="C336" i="63"/>
  <c r="C274" i="63"/>
  <c r="C150" i="63"/>
  <c r="C398" i="63"/>
  <c r="C367" i="63"/>
  <c r="C178" i="63"/>
  <c r="C210" i="63"/>
  <c r="C305" i="63"/>
  <c r="D178" i="63" l="1"/>
  <c r="D210" i="63"/>
  <c r="D117" i="63"/>
  <c r="Y55" i="42"/>
  <c r="AB55" i="42"/>
  <c r="A212" i="63"/>
  <c r="A119" i="63"/>
  <c r="A180" i="63"/>
  <c r="AO64" i="43"/>
  <c r="AB109" i="43"/>
  <c r="D336" i="63"/>
  <c r="D274" i="63"/>
  <c r="D398" i="63"/>
  <c r="D305" i="63"/>
  <c r="D150" i="63"/>
  <c r="D367" i="63"/>
  <c r="A337" i="63"/>
  <c r="A275" i="63"/>
  <c r="A399" i="63"/>
  <c r="A306" i="63"/>
  <c r="A368" i="63"/>
  <c r="D242" i="63"/>
  <c r="A244" i="63"/>
  <c r="A151" i="63"/>
  <c r="A32" i="43"/>
  <c r="A56" i="42"/>
  <c r="A63" i="42"/>
  <c r="A62" i="42"/>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18" i="63"/>
  <c r="C211" i="63"/>
  <c r="C275" i="63"/>
  <c r="C368" i="63"/>
  <c r="C337" i="63"/>
  <c r="C399" i="63"/>
  <c r="C151" i="63"/>
  <c r="C179" i="63"/>
  <c r="C243" i="63"/>
  <c r="C306" i="63"/>
  <c r="D211" i="63" l="1"/>
  <c r="D179" i="63"/>
  <c r="D118" i="63"/>
  <c r="A181" i="63"/>
  <c r="A56" i="38"/>
  <c r="Y47" i="38"/>
  <c r="F46" i="38" s="1"/>
  <c r="Z47" i="38"/>
  <c r="M46" i="38" s="1"/>
  <c r="A120" i="63"/>
  <c r="AB56" i="42"/>
  <c r="Y56" i="42"/>
  <c r="A213" i="63"/>
  <c r="Y33" i="38"/>
  <c r="F32" i="38" s="1"/>
  <c r="Y43" i="38"/>
  <c r="F42" i="38" s="1"/>
  <c r="Z33" i="38"/>
  <c r="M32" i="38"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33" i="43"/>
  <c r="A53" i="43" s="1"/>
  <c r="A52" i="43"/>
  <c r="A57" i="42"/>
  <c r="A64" i="42"/>
  <c r="A47" i="38"/>
  <c r="A48" i="38" s="1"/>
  <c r="Z37" i="38"/>
  <c r="M36" i="38" s="1"/>
  <c r="Z39" i="38"/>
  <c r="Z43" i="38"/>
  <c r="M42" i="38" s="1"/>
  <c r="Z41" i="38"/>
  <c r="M40" i="38" s="1"/>
  <c r="Z31" i="38"/>
  <c r="M30" i="38" s="1"/>
  <c r="Z29" i="38"/>
  <c r="Z27" i="38"/>
  <c r="M26" i="38" s="1"/>
  <c r="C212" i="63"/>
  <c r="C152" i="63"/>
  <c r="C119" i="63"/>
  <c r="C180" i="63"/>
  <c r="C276" i="63"/>
  <c r="C400" i="63"/>
  <c r="C244" i="63"/>
  <c r="C369" i="63"/>
  <c r="C307" i="63"/>
  <c r="C338" i="63"/>
  <c r="D212" i="63" l="1"/>
  <c r="D180" i="63"/>
  <c r="D119" i="63"/>
  <c r="A214" i="63"/>
  <c r="A182" i="63"/>
  <c r="AN52" i="43"/>
  <c r="A49" i="38"/>
  <c r="A50" i="38" s="1"/>
  <c r="Y49" i="38"/>
  <c r="F48" i="38" s="1"/>
  <c r="Z49" i="38"/>
  <c r="M48" i="38" s="1"/>
  <c r="AB57" i="42"/>
  <c r="Y57" i="42"/>
  <c r="A121" i="63"/>
  <c r="M38" i="38"/>
  <c r="M28" i="38"/>
  <c r="D338" i="63"/>
  <c r="D307" i="63"/>
  <c r="D152" i="63"/>
  <c r="D276" i="63"/>
  <c r="D400" i="63"/>
  <c r="D369" i="63"/>
  <c r="A339" i="63"/>
  <c r="A308" i="63"/>
  <c r="A277" i="63"/>
  <c r="A401" i="63"/>
  <c r="A370" i="63"/>
  <c r="D244" i="63"/>
  <c r="A246" i="63"/>
  <c r="A153" i="63"/>
  <c r="A65" i="42"/>
  <c r="A58" i="42"/>
  <c r="A57" i="38"/>
  <c r="D43" i="62"/>
  <c r="D42" i="62"/>
  <c r="C43" i="62"/>
  <c r="C42" i="62"/>
  <c r="C120" i="63"/>
  <c r="C339" i="63"/>
  <c r="C277" i="63"/>
  <c r="C401" i="63"/>
  <c r="C370" i="63"/>
  <c r="C181" i="63"/>
  <c r="C213" i="63"/>
  <c r="C245" i="63"/>
  <c r="C153" i="63"/>
  <c r="C308" i="63"/>
  <c r="D120" i="63" l="1"/>
  <c r="D213" i="63"/>
  <c r="D181" i="63"/>
  <c r="A51" i="38"/>
  <c r="A52" i="38" s="1"/>
  <c r="Y51" i="38"/>
  <c r="F50" i="38" s="1"/>
  <c r="Z51" i="38"/>
  <c r="M50" i="38" s="1"/>
  <c r="A215" i="63"/>
  <c r="A122" i="63"/>
  <c r="A183" i="63"/>
  <c r="Y58" i="42"/>
  <c r="AB58" i="42"/>
  <c r="D339" i="63"/>
  <c r="D370" i="63"/>
  <c r="D308" i="63"/>
  <c r="D401" i="63"/>
  <c r="D153" i="63"/>
  <c r="D277" i="63"/>
  <c r="A340" i="63"/>
  <c r="A371" i="63"/>
  <c r="A309" i="63"/>
  <c r="A402" i="63"/>
  <c r="A278" i="63"/>
  <c r="D245" i="63"/>
  <c r="A247" i="63"/>
  <c r="A154" i="63"/>
  <c r="A59" i="42"/>
  <c r="A66" i="42"/>
  <c r="A58" i="38"/>
  <c r="A59" i="38"/>
  <c r="A7" i="62"/>
  <c r="A8" i="62" s="1"/>
  <c r="A9" i="62" s="1"/>
  <c r="A10" i="62" s="1"/>
  <c r="A11" i="62" s="1"/>
  <c r="A12" i="62" s="1"/>
  <c r="A13" i="62" s="1"/>
  <c r="A14" i="62" s="1"/>
  <c r="A15" i="62" s="1"/>
  <c r="A16" i="62" s="1"/>
  <c r="C340" i="63"/>
  <c r="C154" i="63"/>
  <c r="C121" i="63"/>
  <c r="C214" i="63"/>
  <c r="C278" i="63"/>
  <c r="C371" i="63"/>
  <c r="C182" i="63"/>
  <c r="C246" i="63"/>
  <c r="C309" i="63"/>
  <c r="C402" i="63"/>
  <c r="D214" i="63" l="1"/>
  <c r="D182" i="63"/>
  <c r="D121" i="63"/>
  <c r="A216" i="63"/>
  <c r="A184" i="63"/>
  <c r="A53" i="38"/>
  <c r="A54" i="38" s="1"/>
  <c r="Y53" i="38"/>
  <c r="F52" i="38" s="1"/>
  <c r="Z53" i="38"/>
  <c r="M52" i="38" s="1"/>
  <c r="Y59" i="42"/>
  <c r="AB59" i="42"/>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42"/>
  <c r="A67" i="42"/>
  <c r="A60" i="38"/>
  <c r="C247" i="63"/>
  <c r="C341" i="63"/>
  <c r="C279" i="63"/>
  <c r="C215" i="63"/>
  <c r="C403" i="63"/>
  <c r="C372" i="63"/>
  <c r="C183" i="63"/>
  <c r="C310" i="63"/>
  <c r="C122" i="63"/>
  <c r="C155" i="63"/>
  <c r="D183" i="63" l="1"/>
  <c r="D122" i="63"/>
  <c r="D215" i="63"/>
  <c r="A185" i="63"/>
  <c r="A217" i="63"/>
  <c r="A68" i="42"/>
  <c r="Y60" i="42"/>
  <c r="AB60" i="42"/>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42" i="63"/>
  <c r="C373" i="63"/>
  <c r="C404" i="63"/>
  <c r="C156" i="63"/>
  <c r="C311" i="63"/>
  <c r="C280" i="63"/>
  <c r="C123" i="63"/>
  <c r="C216" i="63"/>
  <c r="C248" i="63"/>
  <c r="C184" i="63"/>
  <c r="A149" i="62" l="1"/>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186" i="63"/>
  <c r="A125" i="63"/>
  <c r="D342" i="63"/>
  <c r="D373" i="63"/>
  <c r="D311" i="63"/>
  <c r="D156" i="63"/>
  <c r="D404" i="63"/>
  <c r="D280" i="63"/>
  <c r="A343" i="63"/>
  <c r="A374" i="63"/>
  <c r="A312" i="63"/>
  <c r="A405" i="63"/>
  <c r="A281" i="63"/>
  <c r="D248" i="63"/>
  <c r="A250" i="63"/>
  <c r="A157" i="63"/>
  <c r="A62" i="38"/>
  <c r="C124" i="63"/>
  <c r="C217" i="63"/>
  <c r="C343" i="63"/>
  <c r="C405" i="63"/>
  <c r="C281" i="63"/>
  <c r="C312" i="63"/>
  <c r="C374" i="63"/>
  <c r="C249" i="63"/>
  <c r="C157" i="63"/>
  <c r="C185" i="63"/>
  <c r="A220" i="62" l="1"/>
  <c r="D124" i="63"/>
  <c r="D217" i="63"/>
  <c r="D185" i="63"/>
  <c r="A126" i="63"/>
  <c r="A187" i="63"/>
  <c r="A219" i="63"/>
  <c r="D281" i="63"/>
  <c r="D405" i="63"/>
  <c r="D374" i="63"/>
  <c r="D343" i="63"/>
  <c r="D157" i="63"/>
  <c r="D312" i="63"/>
  <c r="A282" i="63"/>
  <c r="A406" i="63"/>
  <c r="A375" i="63"/>
  <c r="A344" i="63"/>
  <c r="A313" i="63"/>
  <c r="D249" i="63"/>
  <c r="A251" i="63"/>
  <c r="A158" i="63"/>
  <c r="A64" i="38"/>
  <c r="A63" i="38"/>
  <c r="C406" i="63"/>
  <c r="C218" i="63"/>
  <c r="C282" i="63"/>
  <c r="C313" i="63"/>
  <c r="C125" i="63"/>
  <c r="C375" i="63"/>
  <c r="C186" i="63"/>
  <c r="C344" i="63"/>
  <c r="C250" i="63"/>
  <c r="C158" i="63"/>
  <c r="D186" i="63" l="1"/>
  <c r="D125" i="63"/>
  <c r="D218" i="63"/>
  <c r="A220" i="63"/>
  <c r="A188" i="63"/>
  <c r="A127" i="63"/>
  <c r="D406" i="63"/>
  <c r="D313" i="63"/>
  <c r="D344" i="63"/>
  <c r="D282" i="63"/>
  <c r="D158" i="63"/>
  <c r="D375" i="63"/>
  <c r="A407" i="63"/>
  <c r="A314" i="63"/>
  <c r="A345" i="63"/>
  <c r="A283" i="63"/>
  <c r="A376" i="63"/>
  <c r="D250" i="63"/>
  <c r="A252" i="63"/>
  <c r="A159" i="63"/>
  <c r="C283" i="63"/>
  <c r="C376" i="63"/>
  <c r="C251" i="63"/>
  <c r="C187" i="63"/>
  <c r="C159" i="63"/>
  <c r="C345" i="63"/>
  <c r="C126" i="63"/>
  <c r="C314" i="63"/>
  <c r="C219" i="63"/>
  <c r="C407" i="63"/>
  <c r="D219" i="63" l="1"/>
  <c r="D126" i="63"/>
  <c r="D187" i="63"/>
  <c r="A221" i="63"/>
  <c r="A128" i="63"/>
  <c r="A189" i="63"/>
  <c r="D407" i="63"/>
  <c r="D314" i="63"/>
  <c r="D159" i="63"/>
  <c r="D376" i="63"/>
  <c r="D283" i="63"/>
  <c r="D345" i="63"/>
  <c r="A408" i="63"/>
  <c r="A315" i="63"/>
  <c r="A377" i="63"/>
  <c r="A284" i="63"/>
  <c r="A346" i="63"/>
  <c r="D251" i="63"/>
  <c r="A253" i="63"/>
  <c r="A160" i="63"/>
  <c r="C346" i="63"/>
  <c r="C188" i="63"/>
  <c r="C284" i="63"/>
  <c r="C408" i="63"/>
  <c r="C220" i="63"/>
  <c r="C127" i="63"/>
  <c r="C315" i="63"/>
  <c r="C252" i="63"/>
  <c r="C160" i="63"/>
  <c r="C377" i="63"/>
  <c r="D188" i="63" l="1"/>
  <c r="D127" i="63"/>
  <c r="D220" i="63"/>
  <c r="A129" i="63"/>
  <c r="A222" i="63"/>
  <c r="A190" i="63"/>
  <c r="D346" i="63"/>
  <c r="D284" i="63"/>
  <c r="D315" i="63"/>
  <c r="D408" i="63"/>
  <c r="D160" i="63"/>
  <c r="D377" i="63"/>
  <c r="A347" i="63"/>
  <c r="A285" i="63"/>
  <c r="A316" i="63"/>
  <c r="A409" i="63"/>
  <c r="A378" i="63"/>
  <c r="D252" i="63"/>
  <c r="A254" i="63"/>
  <c r="A161" i="63"/>
  <c r="C347" i="63"/>
  <c r="C285" i="63"/>
  <c r="C253" i="63"/>
  <c r="C221" i="63"/>
  <c r="C378" i="63"/>
  <c r="C189" i="63"/>
  <c r="C316" i="63"/>
  <c r="C161" i="63"/>
  <c r="C128" i="63"/>
  <c r="C409" i="63"/>
  <c r="D189" i="63" l="1"/>
  <c r="D221" i="63"/>
  <c r="D128" i="63"/>
  <c r="A223" i="63"/>
  <c r="A130" i="63"/>
  <c r="A191" i="63"/>
  <c r="D347" i="63"/>
  <c r="D285" i="63"/>
  <c r="D316" i="63"/>
  <c r="D161" i="63"/>
  <c r="D378" i="63"/>
  <c r="D409" i="63"/>
  <c r="A348" i="63"/>
  <c r="A286" i="63"/>
  <c r="A317" i="63"/>
  <c r="A379" i="63"/>
  <c r="A410" i="63"/>
  <c r="D253" i="63"/>
  <c r="A255" i="63"/>
  <c r="A162" i="63"/>
  <c r="C410" i="63"/>
  <c r="C379" i="63"/>
  <c r="C162" i="63"/>
  <c r="C222" i="63"/>
  <c r="C129" i="63"/>
  <c r="C317" i="63"/>
  <c r="C286" i="63"/>
  <c r="C254" i="63"/>
  <c r="C348" i="63"/>
  <c r="C190"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91" i="63"/>
  <c r="C163" i="63"/>
  <c r="C130" i="63"/>
  <c r="C411" i="63"/>
  <c r="C380" i="63"/>
  <c r="C287" i="63"/>
  <c r="C318" i="63"/>
  <c r="C255" i="63"/>
  <c r="C131" i="63"/>
  <c r="C223" i="63"/>
  <c r="C349"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88" i="63"/>
  <c r="C224" i="63"/>
  <c r="C412" i="63"/>
  <c r="C350" i="63"/>
  <c r="C381" i="63"/>
  <c r="C319" i="63"/>
  <c r="C256" i="63"/>
  <c r="C192"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V86" i="45"/>
  <c r="V87" i="45" s="1"/>
  <c r="V88" i="45" s="1"/>
  <c r="V89" i="45" s="1"/>
  <c r="V90" i="45" s="1"/>
  <c r="V91" i="45" s="1"/>
  <c r="V92" i="45" s="1"/>
  <c r="V93" i="45" s="1"/>
  <c r="V94" i="45" s="1"/>
  <c r="V95" i="45" s="1"/>
  <c r="V96" i="45" s="1"/>
  <c r="V97" i="45" s="1"/>
  <c r="V98" i="45" s="1"/>
  <c r="V99" i="45" s="1"/>
  <c r="D71" i="45"/>
  <c r="S69" i="45"/>
  <c r="S65" i="45"/>
  <c r="S61" i="45"/>
  <c r="S57" i="45"/>
  <c r="O51" i="45"/>
  <c r="S40" i="45"/>
  <c r="T40" i="45" s="1"/>
  <c r="S38" i="45"/>
  <c r="T38" i="45" s="1"/>
  <c r="AC36" i="45"/>
  <c r="AA36" i="45"/>
  <c r="S32" i="45"/>
  <c r="T32" i="45" s="1"/>
  <c r="AC35" i="45"/>
  <c r="AA35" i="45"/>
  <c r="AC34" i="45"/>
  <c r="AA34" i="45"/>
  <c r="S36" i="45"/>
  <c r="T36" i="45" s="1"/>
  <c r="AC33" i="45"/>
  <c r="AA33" i="45"/>
  <c r="AC32" i="45"/>
  <c r="AA32" i="45"/>
  <c r="S34" i="45"/>
  <c r="T34" i="45" s="1"/>
  <c r="AC31" i="45"/>
  <c r="AA31" i="45"/>
  <c r="AC30" i="45"/>
  <c r="AA30" i="45"/>
  <c r="AC29" i="45"/>
  <c r="AA29" i="45"/>
  <c r="AC28" i="45"/>
  <c r="AA28" i="45"/>
  <c r="AC27" i="45"/>
  <c r="AA27" i="45"/>
  <c r="AC26" i="45"/>
  <c r="AA26" i="45"/>
  <c r="AC25" i="45"/>
  <c r="AA25" i="45"/>
  <c r="AC24" i="45"/>
  <c r="AA24" i="45"/>
  <c r="AC23" i="45"/>
  <c r="AA23" i="45"/>
  <c r="AC22" i="45"/>
  <c r="AA22" i="45"/>
  <c r="AC21" i="45"/>
  <c r="AA21" i="45"/>
  <c r="AC20" i="45"/>
  <c r="AA20" i="45"/>
  <c r="AC19" i="45"/>
  <c r="AA19" i="45"/>
  <c r="AC18" i="45"/>
  <c r="AA18" i="45"/>
  <c r="AC17" i="45"/>
  <c r="AA17" i="45"/>
  <c r="AC16" i="45"/>
  <c r="AA16" i="45"/>
  <c r="AC15" i="45"/>
  <c r="AA15" i="45"/>
  <c r="T15" i="45"/>
  <c r="T16" i="45" s="1"/>
  <c r="AC14" i="45"/>
  <c r="AA14" i="45"/>
  <c r="AC13" i="45"/>
  <c r="AA13" i="45"/>
  <c r="T13" i="45"/>
  <c r="T14" i="45" s="1"/>
  <c r="AC12" i="45"/>
  <c r="AA12" i="45"/>
  <c r="AC11" i="45"/>
  <c r="AA11" i="45"/>
  <c r="AC10" i="45"/>
  <c r="AA10" i="45"/>
  <c r="AC9" i="45"/>
  <c r="AA9" i="45"/>
  <c r="AC8" i="45"/>
  <c r="AA8" i="45"/>
  <c r="AC7" i="45"/>
  <c r="AA7" i="45"/>
  <c r="AC6" i="45"/>
  <c r="AA6" i="45"/>
  <c r="AC5" i="45"/>
  <c r="AA5" i="45"/>
  <c r="D1" i="45"/>
  <c r="C1" i="45"/>
  <c r="B1" i="45"/>
  <c r="A1" i="45"/>
  <c r="AY173" i="43"/>
  <c r="AY172" i="43"/>
  <c r="AY171" i="43"/>
  <c r="AY170" i="43"/>
  <c r="AY169" i="43"/>
  <c r="AY168" i="43"/>
  <c r="AY167" i="43"/>
  <c r="AY166" i="43"/>
  <c r="AY165" i="43"/>
  <c r="AY164" i="43"/>
  <c r="AY163" i="43"/>
  <c r="AY162" i="43"/>
  <c r="AY161" i="43"/>
  <c r="AY160" i="43"/>
  <c r="AY159" i="43"/>
  <c r="AY158" i="43"/>
  <c r="AY157" i="43"/>
  <c r="AY156" i="43"/>
  <c r="AY155" i="43"/>
  <c r="AY154" i="43"/>
  <c r="D63" i="43"/>
  <c r="AY153" i="43"/>
  <c r="AY152" i="43"/>
  <c r="AY151" i="43"/>
  <c r="AY150" i="43"/>
  <c r="AY149" i="43"/>
  <c r="AY148" i="43"/>
  <c r="AY147" i="43"/>
  <c r="AY146" i="43"/>
  <c r="AY145" i="43"/>
  <c r="AY144" i="43"/>
  <c r="AY143" i="43"/>
  <c r="AY142" i="43"/>
  <c r="D1" i="43"/>
  <c r="C1" i="43"/>
  <c r="B1" i="43"/>
  <c r="A1" i="43"/>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42"/>
  <c r="AC86" i="42" s="1"/>
  <c r="AC87" i="42" s="1"/>
  <c r="AR78" i="42"/>
  <c r="AQ78" i="42"/>
  <c r="AR77" i="42"/>
  <c r="AQ77" i="42"/>
  <c r="AR76" i="42"/>
  <c r="AQ76" i="42"/>
  <c r="AR75" i="42"/>
  <c r="AQ75" i="42"/>
  <c r="AR69" i="42"/>
  <c r="AQ69" i="42"/>
  <c r="AR68" i="42"/>
  <c r="AQ68" i="42"/>
  <c r="AR67" i="42"/>
  <c r="AQ67" i="42"/>
  <c r="AR66" i="42"/>
  <c r="AQ66" i="42"/>
  <c r="D72" i="42"/>
  <c r="AR60" i="42"/>
  <c r="AQ60" i="42"/>
  <c r="AD60" i="42"/>
  <c r="AA60" i="42"/>
  <c r="AR59" i="42"/>
  <c r="AQ59" i="42"/>
  <c r="AD59" i="42"/>
  <c r="AA59" i="42"/>
  <c r="AR58" i="42"/>
  <c r="AQ58" i="42"/>
  <c r="AD58" i="42"/>
  <c r="AA58" i="42"/>
  <c r="AR57" i="42"/>
  <c r="AQ57" i="42"/>
  <c r="AD57" i="42"/>
  <c r="AD56" i="42"/>
  <c r="AA56" i="42"/>
  <c r="AD55" i="42"/>
  <c r="AA55" i="42"/>
  <c r="AR51" i="42"/>
  <c r="AQ51" i="42"/>
  <c r="AR50" i="42"/>
  <c r="AQ50" i="42"/>
  <c r="AB50" i="42"/>
  <c r="AD50" i="42" s="1"/>
  <c r="Y50" i="42"/>
  <c r="AA50" i="42" s="1"/>
  <c r="AR49" i="42"/>
  <c r="AQ49" i="42"/>
  <c r="AB49" i="42"/>
  <c r="AD49" i="42" s="1"/>
  <c r="Y49" i="42"/>
  <c r="AA49" i="42" s="1"/>
  <c r="AR48" i="42"/>
  <c r="AQ48" i="42"/>
  <c r="AB48" i="42"/>
  <c r="AD48" i="42" s="1"/>
  <c r="Y48" i="42"/>
  <c r="AA48" i="42" s="1"/>
  <c r="AP50" i="42" s="1"/>
  <c r="AB47" i="42"/>
  <c r="AD47" i="42" s="1"/>
  <c r="Y47" i="42"/>
  <c r="AB46" i="42"/>
  <c r="AD46" i="42" s="1"/>
  <c r="Y46" i="42"/>
  <c r="AA46" i="42" s="1"/>
  <c r="AB45" i="42"/>
  <c r="AD45" i="42" s="1"/>
  <c r="Y45" i="42"/>
  <c r="AA45" i="42" s="1"/>
  <c r="AR42" i="42"/>
  <c r="AQ42" i="42"/>
  <c r="AR41" i="42"/>
  <c r="AQ41" i="42"/>
  <c r="AR40" i="42"/>
  <c r="AQ40" i="42"/>
  <c r="AB40" i="42"/>
  <c r="AD40" i="42" s="1"/>
  <c r="AP42" i="42" s="1"/>
  <c r="Y40" i="42"/>
  <c r="AA40" i="42" s="1"/>
  <c r="AR39" i="42"/>
  <c r="AQ39" i="42"/>
  <c r="AB39" i="42"/>
  <c r="AD39" i="42" s="1"/>
  <c r="Y39" i="42"/>
  <c r="AA39" i="42" s="1"/>
  <c r="AP33" i="42" s="1"/>
  <c r="AB38" i="42"/>
  <c r="AD38" i="42" s="1"/>
  <c r="Y38" i="42"/>
  <c r="AA38" i="42" s="1"/>
  <c r="AB37" i="42"/>
  <c r="AD37" i="42" s="1"/>
  <c r="Y37" i="42"/>
  <c r="AA37" i="42" s="1"/>
  <c r="AB36" i="42"/>
  <c r="AD36" i="42" s="1"/>
  <c r="Y36" i="42"/>
  <c r="AA36" i="42" s="1"/>
  <c r="AB35" i="42"/>
  <c r="AD35" i="42" s="1"/>
  <c r="Y35" i="42"/>
  <c r="AR33" i="42"/>
  <c r="AQ33" i="42"/>
  <c r="AR32" i="42"/>
  <c r="AQ32" i="42"/>
  <c r="AR31" i="42"/>
  <c r="AQ31" i="42"/>
  <c r="AR30" i="42"/>
  <c r="AQ30" i="42"/>
  <c r="AB30" i="42"/>
  <c r="AD30" i="42" s="1"/>
  <c r="Y30" i="42"/>
  <c r="AA30" i="42" s="1"/>
  <c r="AB29" i="42"/>
  <c r="AD29" i="42" s="1"/>
  <c r="Y29" i="42"/>
  <c r="AA29" i="42" s="1"/>
  <c r="AB28" i="42"/>
  <c r="AD28" i="42" s="1"/>
  <c r="Y28" i="42"/>
  <c r="AA28" i="42" s="1"/>
  <c r="AB27" i="42"/>
  <c r="AD27" i="42" s="1"/>
  <c r="Y27" i="42"/>
  <c r="AB26" i="42"/>
  <c r="AD26" i="42" s="1"/>
  <c r="Y26" i="42"/>
  <c r="AA26" i="42" s="1"/>
  <c r="AB25" i="42"/>
  <c r="AD25" i="42" s="1"/>
  <c r="Y25" i="42"/>
  <c r="AA25" i="42" s="1"/>
  <c r="AR24" i="42"/>
  <c r="AQ24" i="42"/>
  <c r="AR23" i="42"/>
  <c r="AQ23" i="42"/>
  <c r="AR22" i="42"/>
  <c r="AQ22" i="42"/>
  <c r="AR21" i="42"/>
  <c r="AQ21" i="42"/>
  <c r="AC20" i="42"/>
  <c r="AB20" i="42"/>
  <c r="AA20" i="42"/>
  <c r="Z20" i="42"/>
  <c r="AC19" i="42"/>
  <c r="AB19" i="42"/>
  <c r="AA19" i="42"/>
  <c r="AQ15" i="42"/>
  <c r="AQ13" i="42"/>
  <c r="D1" i="42"/>
  <c r="C1" i="42"/>
  <c r="B1" i="42"/>
  <c r="A1" i="42"/>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413" i="63"/>
  <c r="C382" i="63"/>
  <c r="C225" i="63"/>
  <c r="C257" i="63"/>
  <c r="C320" i="63"/>
  <c r="C351" i="63"/>
  <c r="C289" i="63"/>
  <c r="C193" i="63"/>
  <c r="AP48" i="42" l="1"/>
  <c r="AP40" i="42"/>
  <c r="AP39" i="42"/>
  <c r="AP41" i="42"/>
  <c r="AP32" i="42"/>
  <c r="AP22" i="42"/>
  <c r="AP21" i="42"/>
  <c r="AP23" i="42"/>
  <c r="AP24" i="42"/>
  <c r="AP13" i="42"/>
  <c r="AP15" i="42"/>
  <c r="AA87" i="42"/>
  <c r="B127" i="29"/>
  <c r="B128" i="29" s="1"/>
  <c r="B129" i="29" s="1"/>
  <c r="B130" i="29" s="1"/>
  <c r="B131" i="29" s="1"/>
  <c r="B132" i="29" s="1"/>
  <c r="B133" i="29" s="1"/>
  <c r="AP59" i="42"/>
  <c r="AP57" i="42"/>
  <c r="AP58" i="42"/>
  <c r="AP60" i="42"/>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P69" i="42"/>
  <c r="D193" i="63"/>
  <c r="D225" i="63"/>
  <c r="AQ14" i="42"/>
  <c r="Z77" i="46"/>
  <c r="Z97" i="46"/>
  <c r="AR13" i="42"/>
  <c r="A195" i="63"/>
  <c r="AR15" i="42"/>
  <c r="AK34" i="42"/>
  <c r="AB67" i="42" s="1"/>
  <c r="A227" i="63"/>
  <c r="AR14" i="42"/>
  <c r="T67" i="45"/>
  <c r="O67" i="45"/>
  <c r="T63" i="45"/>
  <c r="O63" i="45"/>
  <c r="T59" i="45"/>
  <c r="O59" i="45"/>
  <c r="T55" i="45"/>
  <c r="O55" i="45"/>
  <c r="T51" i="45"/>
  <c r="AP75" i="42"/>
  <c r="AP78" i="42"/>
  <c r="AP77" i="42"/>
  <c r="AP76" i="42"/>
  <c r="AK61" i="42"/>
  <c r="AE67" i="42" s="1"/>
  <c r="AD20" i="42"/>
  <c r="AD19" i="42"/>
  <c r="AR12" i="42"/>
  <c r="AD87" i="42"/>
  <c r="AD86" i="42" s="1"/>
  <c r="AA88" i="42"/>
  <c r="AA86" i="42"/>
  <c r="AB86" i="42"/>
  <c r="D382" i="63"/>
  <c r="D351" i="63"/>
  <c r="D413" i="63"/>
  <c r="D320" i="63"/>
  <c r="D289" i="63"/>
  <c r="A383" i="63"/>
  <c r="A352" i="63"/>
  <c r="A414" i="63"/>
  <c r="A321" i="63"/>
  <c r="A290" i="63"/>
  <c r="D257" i="63"/>
  <c r="A259" i="63"/>
  <c r="AK43" i="42"/>
  <c r="AC67" i="42" s="1"/>
  <c r="AK16" i="42"/>
  <c r="Z67" i="42" s="1"/>
  <c r="AA27" i="42"/>
  <c r="AP14" i="42" s="1"/>
  <c r="AQ12" i="42"/>
  <c r="AG11" i="42"/>
  <c r="AA35" i="42"/>
  <c r="AK52" i="42"/>
  <c r="AD67" i="42" s="1"/>
  <c r="AA47" i="42"/>
  <c r="AP51" i="42" s="1"/>
  <c r="AK70" i="42"/>
  <c r="AF67" i="42" s="1"/>
  <c r="AA57" i="42"/>
  <c r="AP68" i="42" s="1"/>
  <c r="AP67" i="42"/>
  <c r="AK25" i="42"/>
  <c r="AA67" i="42" s="1"/>
  <c r="C226" i="63"/>
  <c r="C195" i="63"/>
  <c r="C194" i="63"/>
  <c r="C383" i="63"/>
  <c r="C227" i="63"/>
  <c r="C290" i="63"/>
  <c r="C352" i="63"/>
  <c r="C258" i="63"/>
  <c r="C414" i="63"/>
  <c r="C321" i="63"/>
  <c r="AP49" i="42" l="1"/>
  <c r="AP31" i="42"/>
  <c r="AP30" i="42"/>
  <c r="AP12" i="42"/>
  <c r="Z68" i="42" s="1"/>
  <c r="AU69" i="42"/>
  <c r="AT69" i="42"/>
  <c r="AU58" i="42"/>
  <c r="AU60" i="42"/>
  <c r="AE68" i="42"/>
  <c r="AV58" i="42"/>
  <c r="AE69" i="42"/>
  <c r="AS40" i="42"/>
  <c r="AT30" i="42"/>
  <c r="AS31" i="42"/>
  <c r="AS77" i="42"/>
  <c r="D226" i="63"/>
  <c r="D195" i="63"/>
  <c r="D227" i="63"/>
  <c r="D194" i="63"/>
  <c r="AT59" i="42"/>
  <c r="AU57" i="42"/>
  <c r="AV39" i="42"/>
  <c r="AS59" i="42"/>
  <c r="AT39" i="42"/>
  <c r="AT57" i="42"/>
  <c r="AE70" i="42"/>
  <c r="AU39" i="42"/>
  <c r="AV57" i="42"/>
  <c r="AP66" i="42"/>
  <c r="AT66" i="42" s="1"/>
  <c r="R71" i="29"/>
  <c r="Q86" i="29" s="1"/>
  <c r="P96" i="41" s="1"/>
  <c r="AV75" i="42"/>
  <c r="AS78" i="42"/>
  <c r="AT78" i="42"/>
  <c r="AU78" i="42"/>
  <c r="AV77" i="42"/>
  <c r="AU75" i="42"/>
  <c r="AV76" i="42"/>
  <c r="AG70" i="42"/>
  <c r="AU76" i="42"/>
  <c r="AT75" i="42"/>
  <c r="AG68" i="42"/>
  <c r="AT77" i="42"/>
  <c r="AG69" i="42"/>
  <c r="AS76" i="42"/>
  <c r="AG71" i="42"/>
  <c r="AS60" i="42"/>
  <c r="AE71" i="42"/>
  <c r="AS58" i="42"/>
  <c r="AV59" i="42"/>
  <c r="AT60" i="42"/>
  <c r="AS50" i="42"/>
  <c r="D414" i="63"/>
  <c r="D352" i="63"/>
  <c r="D383" i="63"/>
  <c r="D290" i="63"/>
  <c r="D321" i="63"/>
  <c r="A415" i="63"/>
  <c r="A353" i="63"/>
  <c r="A384" i="63"/>
  <c r="A291" i="63"/>
  <c r="A322" i="63"/>
  <c r="D258" i="63"/>
  <c r="AU40" i="42"/>
  <c r="AS41" i="42"/>
  <c r="AU42" i="42"/>
  <c r="AC68" i="42"/>
  <c r="AC71" i="42"/>
  <c r="AC69" i="42"/>
  <c r="AT41" i="42"/>
  <c r="AC70" i="42"/>
  <c r="AT42" i="42"/>
  <c r="AV40" i="42"/>
  <c r="AS42" i="42"/>
  <c r="AV41" i="42"/>
  <c r="AA68" i="42"/>
  <c r="AV21" i="42"/>
  <c r="AU22" i="42"/>
  <c r="AU15" i="42"/>
  <c r="AS15" i="42"/>
  <c r="AV14" i="42"/>
  <c r="AU13" i="42"/>
  <c r="AS14" i="42"/>
  <c r="AV12" i="42"/>
  <c r="AU12" i="42"/>
  <c r="AU48" i="42"/>
  <c r="AV67" i="42"/>
  <c r="AU67" i="42"/>
  <c r="AV68" i="42"/>
  <c r="AT68" i="42"/>
  <c r="AA70" i="42"/>
  <c r="AA69" i="42"/>
  <c r="AV22" i="42"/>
  <c r="AV23" i="42"/>
  <c r="AT21" i="42"/>
  <c r="AU24" i="42"/>
  <c r="AU21" i="42"/>
  <c r="AT23" i="42"/>
  <c r="AT24" i="42"/>
  <c r="AS23" i="42"/>
  <c r="AS24" i="42"/>
  <c r="AS22" i="42"/>
  <c r="AA71" i="42"/>
  <c r="C384" i="63"/>
  <c r="C322" i="63"/>
  <c r="C415" i="63"/>
  <c r="C291" i="63"/>
  <c r="C353" i="63"/>
  <c r="C259" i="63"/>
  <c r="AF69" i="42" l="1"/>
  <c r="AF68" i="42"/>
  <c r="AS68" i="42"/>
  <c r="AX68" i="42" s="1"/>
  <c r="AF70" i="42"/>
  <c r="AU66" i="42"/>
  <c r="AY68" i="42" s="1"/>
  <c r="AV66" i="42"/>
  <c r="AY69" i="42" s="1"/>
  <c r="AS69" i="42"/>
  <c r="AX69" i="42" s="1"/>
  <c r="AF71" i="42"/>
  <c r="AS67" i="42"/>
  <c r="AW67" i="42" s="1"/>
  <c r="AX60" i="42"/>
  <c r="AY60" i="42"/>
  <c r="AY57" i="42"/>
  <c r="AY58" i="42"/>
  <c r="AX58" i="42"/>
  <c r="AX59" i="42"/>
  <c r="AX57" i="42"/>
  <c r="AW59" i="42"/>
  <c r="AY59" i="42"/>
  <c r="AT51" i="42"/>
  <c r="AX39" i="42"/>
  <c r="AX40" i="42"/>
  <c r="AY40" i="42"/>
  <c r="AX42" i="42"/>
  <c r="AY41" i="42"/>
  <c r="AY75" i="42"/>
  <c r="AW41" i="42"/>
  <c r="AW40" i="42"/>
  <c r="AW39" i="42"/>
  <c r="AY67" i="42"/>
  <c r="AW77" i="42"/>
  <c r="AY77" i="42"/>
  <c r="AW75" i="42"/>
  <c r="AX75" i="42"/>
  <c r="AX78" i="42"/>
  <c r="AY76" i="42"/>
  <c r="AW78" i="42"/>
  <c r="AY78" i="42"/>
  <c r="AX77" i="42"/>
  <c r="AX76" i="42"/>
  <c r="AW76" i="42"/>
  <c r="AW57" i="42"/>
  <c r="AW58" i="42"/>
  <c r="AW60" i="42"/>
  <c r="D291" i="63"/>
  <c r="D353" i="63"/>
  <c r="D415" i="63"/>
  <c r="D384" i="63"/>
  <c r="D322" i="63"/>
  <c r="A354" i="63"/>
  <c r="A416" i="63"/>
  <c r="A385" i="63"/>
  <c r="A323" i="63"/>
  <c r="D259" i="63"/>
  <c r="AX22" i="42"/>
  <c r="AY39" i="42"/>
  <c r="AW42" i="42"/>
  <c r="AY42" i="42"/>
  <c r="AX41" i="42"/>
  <c r="AY24" i="42"/>
  <c r="AW23" i="42"/>
  <c r="AY22" i="42"/>
  <c r="AS13" i="42"/>
  <c r="AV13" i="42"/>
  <c r="AY15" i="42" s="1"/>
  <c r="Z69" i="42"/>
  <c r="Z71" i="42"/>
  <c r="AT14" i="42"/>
  <c r="AW14" i="42" s="1"/>
  <c r="AT15" i="42"/>
  <c r="AX15" i="42" s="1"/>
  <c r="AT12" i="42"/>
  <c r="AX12" i="42" s="1"/>
  <c r="Z70" i="42"/>
  <c r="AY14" i="42"/>
  <c r="AS32" i="42"/>
  <c r="AB71" i="42"/>
  <c r="AB68" i="42"/>
  <c r="AT32" i="42"/>
  <c r="AU30" i="42"/>
  <c r="AU31" i="42"/>
  <c r="AB69" i="42"/>
  <c r="AV32" i="42"/>
  <c r="AB70" i="42"/>
  <c r="AU33" i="42"/>
  <c r="AT33" i="42"/>
  <c r="AS33" i="42"/>
  <c r="AV31" i="42"/>
  <c r="AV30" i="42"/>
  <c r="AU51" i="42"/>
  <c r="AV50" i="42"/>
  <c r="AS51" i="42"/>
  <c r="AV48" i="42"/>
  <c r="AD68" i="42"/>
  <c r="AV49" i="42"/>
  <c r="AD69" i="42"/>
  <c r="AT48" i="42"/>
  <c r="AD70" i="42"/>
  <c r="AT50" i="42"/>
  <c r="AD71" i="42"/>
  <c r="AS49" i="42"/>
  <c r="AU49" i="42"/>
  <c r="AW22" i="42"/>
  <c r="AY23" i="42"/>
  <c r="AW21" i="42"/>
  <c r="AX24" i="42"/>
  <c r="AX23" i="42"/>
  <c r="AW24" i="42"/>
  <c r="AY21" i="42"/>
  <c r="AX21" i="42"/>
  <c r="M71" i="29"/>
  <c r="C385" i="63"/>
  <c r="C354" i="63"/>
  <c r="C323" i="63"/>
  <c r="C416" i="63"/>
  <c r="O190" i="64" l="1"/>
  <c r="AW69" i="42"/>
  <c r="AX66" i="42"/>
  <c r="AW68" i="42"/>
  <c r="AW66" i="42"/>
  <c r="AX67" i="42"/>
  <c r="AY66" i="42"/>
  <c r="AY50" i="42"/>
  <c r="P67" i="38"/>
  <c r="D385" i="63"/>
  <c r="D416" i="63"/>
  <c r="D354" i="63"/>
  <c r="D323" i="63"/>
  <c r="A386" i="63"/>
  <c r="A417" i="63"/>
  <c r="A355" i="63"/>
  <c r="AX14" i="42"/>
  <c r="AW12" i="42"/>
  <c r="AY13" i="42"/>
  <c r="AW13" i="42"/>
  <c r="AX13" i="42"/>
  <c r="AY12" i="42"/>
  <c r="AW15" i="42"/>
  <c r="AY33" i="42"/>
  <c r="AX30" i="42"/>
  <c r="AY32" i="42"/>
  <c r="AW30" i="42"/>
  <c r="AW33" i="42"/>
  <c r="AX33" i="42"/>
  <c r="AY31" i="42"/>
  <c r="AX31" i="42"/>
  <c r="AW31" i="42"/>
  <c r="AW32" i="42"/>
  <c r="AX32" i="42"/>
  <c r="AY30" i="42"/>
  <c r="AW49" i="42"/>
  <c r="AY48" i="42"/>
  <c r="AX49" i="42"/>
  <c r="AY51" i="42"/>
  <c r="AX50" i="42"/>
  <c r="AW50" i="42"/>
  <c r="AW51" i="42"/>
  <c r="AX51" i="42"/>
  <c r="AY49" i="42"/>
  <c r="AW48" i="42"/>
  <c r="AX48" i="42"/>
  <c r="O48" i="46"/>
  <c r="H52" i="46" s="1"/>
  <c r="V72" i="42"/>
  <c r="Y63" i="43"/>
  <c r="R62" i="25"/>
  <c r="S65" i="25" s="1"/>
  <c r="M86" i="41"/>
  <c r="AC67" i="43"/>
  <c r="AG67" i="43" s="1"/>
  <c r="O71" i="45"/>
  <c r="C417" i="63"/>
  <c r="C355" i="63"/>
  <c r="C386" i="63"/>
  <c r="C94" i="25" l="1"/>
  <c r="D62" i="25"/>
  <c r="AC71" i="43"/>
  <c r="G94" i="45"/>
  <c r="H94" i="45" s="1"/>
  <c r="N94" i="45" s="1"/>
  <c r="H87" i="45"/>
  <c r="H91" i="45" s="1"/>
  <c r="AA4" i="42"/>
  <c r="D355" i="63"/>
  <c r="D386" i="63"/>
  <c r="D417" i="63"/>
  <c r="A387" i="63"/>
  <c r="A418" i="63"/>
  <c r="AB7" i="38"/>
  <c r="AC7" i="38" s="1"/>
  <c r="V134" i="46"/>
  <c r="G59" i="46"/>
  <c r="H59" i="46" s="1"/>
  <c r="N59" i="46" s="1"/>
  <c r="AC69" i="43"/>
  <c r="AG69" i="43" s="1"/>
  <c r="AB11" i="38"/>
  <c r="AC11" i="38" s="1"/>
  <c r="C93" i="25"/>
  <c r="C88" i="25"/>
  <c r="P65" i="25"/>
  <c r="C89" i="25"/>
  <c r="H69" i="25"/>
  <c r="C92" i="25"/>
  <c r="H71" i="25"/>
  <c r="C90" i="25"/>
  <c r="H70" i="25"/>
  <c r="C91" i="25"/>
  <c r="C95" i="25"/>
  <c r="H57" i="46"/>
  <c r="H56" i="46"/>
  <c r="H53" i="46"/>
  <c r="H55" i="46"/>
  <c r="H58" i="46"/>
  <c r="H54" i="46"/>
  <c r="C387" i="63"/>
  <c r="C418" i="63"/>
  <c r="AH8" i="38" l="1"/>
  <c r="AG71" i="43"/>
  <c r="AF139" i="43" s="1"/>
  <c r="D418" i="63"/>
  <c r="D387" i="63"/>
  <c r="A419" i="63"/>
  <c r="AF9" i="38"/>
  <c r="AF7" i="38"/>
  <c r="AA7" i="42"/>
  <c r="AC5" i="42" s="1"/>
  <c r="H88" i="45"/>
  <c r="H90" i="45"/>
  <c r="N89" i="45" s="1"/>
  <c r="H89" i="45"/>
  <c r="H92" i="45"/>
  <c r="H93" i="45"/>
  <c r="N55" i="46"/>
  <c r="N53" i="46"/>
  <c r="G119" i="46" s="1"/>
  <c r="AA5" i="42"/>
  <c r="AA6" i="42" s="1"/>
  <c r="N54" i="46"/>
  <c r="C419" i="63"/>
  <c r="AF6" i="38" l="1"/>
  <c r="AF8" i="38"/>
  <c r="AH6" i="38"/>
  <c r="AH7" i="38"/>
  <c r="AC145" i="43"/>
  <c r="AC141" i="43"/>
  <c r="AC144" i="43"/>
  <c r="AC140" i="43"/>
  <c r="AC147" i="43"/>
  <c r="AC143" i="43"/>
  <c r="AC146" i="43"/>
  <c r="AC142" i="43"/>
  <c r="AJ92" i="45"/>
  <c r="AE55" i="45"/>
  <c r="AE57" i="45" s="1"/>
  <c r="AI74" i="45"/>
  <c r="AJ94" i="45"/>
  <c r="AJ89" i="45"/>
  <c r="G121" i="46"/>
  <c r="AJ90" i="45"/>
  <c r="N88" i="45"/>
  <c r="AG16" i="45" s="1"/>
  <c r="D419" i="63"/>
  <c r="AD5" i="42"/>
  <c r="AE5" i="42" s="1"/>
  <c r="N90" i="45"/>
  <c r="T63" i="46"/>
  <c r="AD62" i="46"/>
  <c r="AD64" i="46" s="1"/>
  <c r="AE65" i="46" s="1"/>
  <c r="T62" i="46"/>
  <c r="AI75" i="45" l="1"/>
  <c r="AK74" i="45" s="1"/>
  <c r="AC48" i="43"/>
  <c r="AD48" i="43" s="1"/>
  <c r="AC42" i="43"/>
  <c r="AD42" i="43" s="1"/>
  <c r="AC20" i="43"/>
  <c r="AD20" i="43" s="1"/>
  <c r="AE20" i="43"/>
  <c r="AF20" i="43" s="1"/>
  <c r="AC14" i="43"/>
  <c r="AD14" i="43" s="1"/>
  <c r="AC38" i="43"/>
  <c r="AD38" i="43" s="1"/>
  <c r="AE56" i="43"/>
  <c r="AF56" i="43" s="1"/>
  <c r="S20" i="45"/>
  <c r="T20" i="45" s="1"/>
  <c r="T19" i="45" s="1"/>
  <c r="AC36" i="43"/>
  <c r="AD36" i="43" s="1"/>
  <c r="S18" i="45"/>
  <c r="T18" i="45" s="1"/>
  <c r="AC56" i="43"/>
  <c r="AD56" i="43" s="1"/>
  <c r="AE59" i="43"/>
  <c r="AF59" i="43" s="1"/>
  <c r="AL59" i="43" s="1"/>
  <c r="AF158" i="43" s="1"/>
  <c r="AM158" i="43" s="1"/>
  <c r="AC46" i="43"/>
  <c r="AD46" i="43" s="1"/>
  <c r="AC52" i="43"/>
  <c r="AD52" i="43" s="1"/>
  <c r="AH53" i="43" s="1"/>
  <c r="AE52" i="43"/>
  <c r="AF52" i="43" s="1"/>
  <c r="AJ53" i="43" s="1"/>
  <c r="AC40" i="43"/>
  <c r="AD40" i="43" s="1"/>
  <c r="AE46" i="43"/>
  <c r="AF46" i="43" s="1"/>
  <c r="AE48" i="43"/>
  <c r="AF48" i="43" s="1"/>
  <c r="AE40" i="43"/>
  <c r="AF40" i="43" s="1"/>
  <c r="AE42" i="43"/>
  <c r="AF42" i="43" s="1"/>
  <c r="AE38" i="43"/>
  <c r="AF38" i="43" s="1"/>
  <c r="AE36" i="43"/>
  <c r="AF36" i="43" s="1"/>
  <c r="AE28" i="43"/>
  <c r="AF28" i="43" s="1"/>
  <c r="AE26" i="43"/>
  <c r="AF26" i="43" s="1"/>
  <c r="AE24" i="43"/>
  <c r="AF24" i="43" s="1"/>
  <c r="AE22" i="43"/>
  <c r="AF22" i="43" s="1"/>
  <c r="AE18" i="43"/>
  <c r="AF18" i="43" s="1"/>
  <c r="AE16" i="43"/>
  <c r="AF16" i="43" s="1"/>
  <c r="AE14" i="43"/>
  <c r="AF14" i="43" s="1"/>
  <c r="AC28" i="43"/>
  <c r="AD28" i="43" s="1"/>
  <c r="AC26" i="43"/>
  <c r="AD26" i="43" s="1"/>
  <c r="AC24" i="43"/>
  <c r="AD24" i="43" s="1"/>
  <c r="AC22" i="43"/>
  <c r="AD22" i="43" s="1"/>
  <c r="AC18" i="43"/>
  <c r="AD18" i="43" s="1"/>
  <c r="AC16" i="43"/>
  <c r="AD16" i="43" s="1"/>
  <c r="S22" i="45"/>
  <c r="T22" i="45" s="1"/>
  <c r="S21" i="45" s="1"/>
  <c r="M21" i="45" s="1"/>
  <c r="AG11" i="45"/>
  <c r="AD22" i="45"/>
  <c r="AD18" i="45"/>
  <c r="AG26" i="45"/>
  <c r="AD36" i="45"/>
  <c r="AG23" i="45"/>
  <c r="AG31" i="45"/>
  <c r="AG7" i="45"/>
  <c r="AG21" i="45"/>
  <c r="AD12" i="45"/>
  <c r="AD5" i="45"/>
  <c r="AD27" i="45"/>
  <c r="AG15" i="45"/>
  <c r="AG33" i="45"/>
  <c r="AD25" i="45"/>
  <c r="AE46" i="45"/>
  <c r="AD20" i="45"/>
  <c r="AG12" i="45"/>
  <c r="AG22" i="45"/>
  <c r="AD24" i="45"/>
  <c r="AG9" i="45"/>
  <c r="AG34" i="45"/>
  <c r="AD14" i="45"/>
  <c r="AG25" i="45"/>
  <c r="AD6" i="45"/>
  <c r="AG30" i="45"/>
  <c r="AD11" i="45"/>
  <c r="AG17" i="45"/>
  <c r="AD21" i="45"/>
  <c r="AG36" i="45"/>
  <c r="AD17" i="45"/>
  <c r="AD8" i="45"/>
  <c r="AD29" i="45"/>
  <c r="AG32" i="45"/>
  <c r="AG29" i="45"/>
  <c r="AG19" i="45"/>
  <c r="AG14" i="45"/>
  <c r="AD32" i="45"/>
  <c r="AD31" i="45"/>
  <c r="AG35" i="45"/>
  <c r="AG5" i="45"/>
  <c r="AG20" i="45"/>
  <c r="AD15" i="45"/>
  <c r="AD7" i="45"/>
  <c r="AG8" i="45"/>
  <c r="AG6" i="45"/>
  <c r="AE47" i="45"/>
  <c r="AG18" i="45"/>
  <c r="AD35" i="45"/>
  <c r="AD13" i="45"/>
  <c r="AD16" i="45"/>
  <c r="AD23" i="45"/>
  <c r="AG24" i="45"/>
  <c r="AD26" i="45"/>
  <c r="AD10" i="45"/>
  <c r="AG13" i="45"/>
  <c r="AG10" i="45"/>
  <c r="AD28" i="45"/>
  <c r="AD19" i="45"/>
  <c r="AG28" i="45"/>
  <c r="AG27" i="45"/>
  <c r="AD9" i="45"/>
  <c r="AD33" i="45"/>
  <c r="AD30" i="45"/>
  <c r="AD34" i="45"/>
  <c r="AD65" i="46"/>
  <c r="T64" i="46"/>
  <c r="AH57" i="43" l="1"/>
  <c r="AJ57" i="43"/>
  <c r="AJ49" i="43"/>
  <c r="AJ47" i="43"/>
  <c r="AH47" i="43"/>
  <c r="AH49" i="43"/>
  <c r="AJ43" i="43"/>
  <c r="AJ37" i="43"/>
  <c r="AJ41" i="43"/>
  <c r="AJ39" i="43"/>
  <c r="AH43" i="43"/>
  <c r="AH39" i="43"/>
  <c r="AH41" i="43"/>
  <c r="AH37" i="43"/>
  <c r="AP156" i="43"/>
  <c r="AP159" i="43"/>
  <c r="AP157" i="43"/>
  <c r="AH23" i="43"/>
  <c r="AJ21" i="43"/>
  <c r="AJ29" i="43"/>
  <c r="AH15" i="43"/>
  <c r="AJ19" i="43"/>
  <c r="AJ15" i="43"/>
  <c r="AJ25" i="43"/>
  <c r="AH27" i="43"/>
  <c r="AH29" i="43"/>
  <c r="AH17" i="43"/>
  <c r="AH19" i="43"/>
  <c r="AJ17" i="43"/>
  <c r="AJ23" i="43"/>
  <c r="AJ27" i="43"/>
  <c r="AH25" i="43"/>
  <c r="AH21" i="43"/>
  <c r="O91" i="45"/>
  <c r="AF162" i="43"/>
  <c r="AF164" i="43" s="1"/>
  <c r="S19" i="45"/>
  <c r="M19" i="45" s="1"/>
  <c r="T17" i="45"/>
  <c r="S17" i="45"/>
  <c r="M17" i="45" s="1"/>
  <c r="AO59" i="43"/>
  <c r="AJ162" i="43" s="1"/>
  <c r="AD37" i="45"/>
  <c r="AG37" i="45"/>
  <c r="U65" i="46"/>
  <c r="T65" i="46"/>
  <c r="T66" i="46" s="1"/>
  <c r="AO160" i="43" l="1"/>
  <c r="AR161" i="43" s="1"/>
  <c r="AF163" i="43"/>
  <c r="AF166" i="43"/>
  <c r="AF165" i="43"/>
  <c r="AP59" i="43"/>
  <c r="AR152" i="43" s="1"/>
  <c r="AF68" i="46"/>
  <c r="V6" i="25" l="1"/>
  <c r="W67" i="25"/>
  <c r="W68" i="25"/>
  <c r="W66" i="25" s="1"/>
  <c r="C1" i="60" l="1"/>
  <c r="C2" i="60" s="1"/>
  <c r="B28" i="60"/>
  <c r="B29" i="60"/>
  <c r="B37" i="60"/>
  <c r="B51" i="60"/>
  <c r="B15" i="60"/>
  <c r="B26" i="60"/>
  <c r="B10" i="60"/>
  <c r="B47" i="60"/>
  <c r="B55" i="60"/>
  <c r="B19" i="60"/>
  <c r="B38" i="60"/>
  <c r="B25" i="60"/>
  <c r="B43" i="60"/>
  <c r="B40" i="60"/>
  <c r="B53" i="60"/>
  <c r="B36" i="60"/>
  <c r="B52" i="60"/>
  <c r="B18" i="60"/>
  <c r="B9" i="60"/>
  <c r="B30" i="60"/>
  <c r="B50" i="60"/>
  <c r="B48" i="60"/>
  <c r="B8" i="60"/>
  <c r="B45" i="60"/>
  <c r="B32" i="60"/>
  <c r="B46" i="60"/>
  <c r="B21" i="60"/>
  <c r="B16" i="60"/>
  <c r="B42" i="60"/>
  <c r="B41" i="60"/>
  <c r="B44" i="60"/>
  <c r="B24" i="60"/>
  <c r="B7" i="60"/>
  <c r="B39" i="60"/>
  <c r="B6" i="60"/>
  <c r="B17" i="60"/>
  <c r="B20" i="60"/>
  <c r="B27" i="60"/>
  <c r="B56" i="60"/>
  <c r="B54" i="60"/>
  <c r="B23" i="60"/>
  <c r="B49" i="60"/>
  <c r="B33" i="60"/>
  <c r="B22" i="60"/>
  <c r="B31" i="60"/>
  <c r="U2" i="64" l="1"/>
  <c r="C1" i="62"/>
  <c r="C2" i="62" s="1"/>
  <c r="C1" i="63"/>
  <c r="C2" i="63" s="1"/>
  <c r="C1" i="61"/>
  <c r="B11" i="63"/>
  <c r="B181" i="62"/>
  <c r="B205" i="62"/>
  <c r="B146" i="62"/>
  <c r="B208" i="62"/>
  <c r="B64" i="63"/>
  <c r="B250" i="62"/>
  <c r="B79" i="63"/>
  <c r="B196" i="62"/>
  <c r="B48" i="62"/>
  <c r="B51" i="63"/>
  <c r="B114" i="62"/>
  <c r="B248" i="62"/>
  <c r="B55" i="63"/>
  <c r="B122" i="62"/>
  <c r="B97" i="62"/>
  <c r="B231" i="62"/>
  <c r="B102" i="62"/>
  <c r="B124" i="62"/>
  <c r="B89" i="62"/>
  <c r="B15" i="62"/>
  <c r="B55" i="62"/>
  <c r="B259" i="62"/>
  <c r="B58" i="62"/>
  <c r="B191" i="62"/>
  <c r="B162" i="62"/>
  <c r="B44" i="63"/>
  <c r="B34" i="62"/>
  <c r="B27" i="63"/>
  <c r="B83" i="62"/>
  <c r="B61" i="62"/>
  <c r="B267" i="62"/>
  <c r="B104" i="62"/>
  <c r="B202" i="62"/>
  <c r="B190" i="62"/>
  <c r="B153" i="62"/>
  <c r="B81" i="63"/>
  <c r="B186" i="62"/>
  <c r="B59" i="63"/>
  <c r="B9" i="62"/>
  <c r="B24" i="62"/>
  <c r="B126" i="62"/>
  <c r="B46" i="62"/>
  <c r="B232" i="62"/>
  <c r="B21" i="62"/>
  <c r="B62" i="62"/>
  <c r="B68" i="62"/>
  <c r="B211" i="62"/>
  <c r="B154" i="62"/>
  <c r="B120" i="62"/>
  <c r="B183" i="62"/>
  <c r="B66" i="63"/>
  <c r="B238" i="62"/>
  <c r="B71" i="63"/>
  <c r="B57" i="62"/>
  <c r="B44" i="62"/>
  <c r="B149" i="62"/>
  <c r="B176" i="62"/>
  <c r="B218" i="62"/>
  <c r="B41" i="62"/>
  <c r="B130" i="62"/>
  <c r="B223" i="62"/>
  <c r="B194" i="62"/>
  <c r="B147" i="62"/>
  <c r="B224" i="62"/>
  <c r="B82" i="62"/>
  <c r="B246" i="62"/>
  <c r="B29" i="62"/>
  <c r="B51" i="62"/>
  <c r="B35" i="62"/>
  <c r="B100" i="62"/>
  <c r="B70" i="63"/>
  <c r="B141" i="62"/>
  <c r="B197" i="62"/>
  <c r="B129" i="62"/>
  <c r="B253" i="62"/>
  <c r="B177" i="62"/>
  <c r="B160" i="62"/>
  <c r="B135" i="62"/>
  <c r="B199" i="62"/>
  <c r="B65" i="63"/>
  <c r="B227" i="62"/>
  <c r="B168" i="62"/>
  <c r="B73" i="63"/>
  <c r="B20" i="62"/>
  <c r="B235" i="62"/>
  <c r="B174" i="62"/>
  <c r="B243" i="62"/>
  <c r="B49" i="62"/>
  <c r="B12" i="62"/>
  <c r="B263" i="62"/>
  <c r="B34" i="63"/>
  <c r="B48" i="63"/>
  <c r="B151" i="62"/>
  <c r="B269" i="62"/>
  <c r="B54" i="62"/>
  <c r="B63" i="63"/>
  <c r="B270" i="62"/>
  <c r="B167" i="62"/>
  <c r="B78" i="62"/>
  <c r="B60" i="63"/>
  <c r="B255" i="62"/>
  <c r="B237" i="62"/>
  <c r="B77" i="62"/>
  <c r="B173" i="62"/>
  <c r="B256" i="62"/>
  <c r="B239" i="62"/>
  <c r="B11" i="62"/>
  <c r="B92" i="62"/>
  <c r="B170" i="62"/>
  <c r="B14" i="62"/>
  <c r="B148" i="62"/>
  <c r="B15" i="63"/>
  <c r="B30" i="63"/>
  <c r="B76" i="63"/>
  <c r="B28" i="63"/>
  <c r="B233" i="62"/>
  <c r="B10" i="62"/>
  <c r="B249" i="62"/>
  <c r="B23" i="63"/>
  <c r="B203" i="62"/>
  <c r="B108" i="62"/>
  <c r="B31" i="62"/>
  <c r="B266" i="62"/>
  <c r="B25" i="63"/>
  <c r="B213" i="62"/>
  <c r="B152" i="62"/>
  <c r="B137" i="62"/>
  <c r="B56" i="62"/>
  <c r="B52" i="63"/>
  <c r="B28" i="62"/>
  <c r="B220" i="62"/>
  <c r="B118" i="62"/>
  <c r="B41" i="63"/>
  <c r="B80" i="63"/>
  <c r="B36" i="62"/>
  <c r="B7" i="63"/>
  <c r="B121" i="62"/>
  <c r="B188" i="62"/>
  <c r="B78" i="63"/>
  <c r="B103" i="62"/>
  <c r="B75" i="62"/>
  <c r="B192" i="62"/>
  <c r="B240" i="62"/>
  <c r="B6" i="62"/>
  <c r="B42" i="62"/>
  <c r="B201" i="62"/>
  <c r="B110" i="62"/>
  <c r="B125" i="62"/>
  <c r="B36" i="63"/>
  <c r="B116" i="62"/>
  <c r="B185" i="62"/>
  <c r="B59" i="62"/>
  <c r="B242" i="62"/>
  <c r="B25" i="62"/>
  <c r="B69" i="63"/>
  <c r="B85" i="62"/>
  <c r="B52" i="62"/>
  <c r="B207" i="62"/>
  <c r="B75" i="63"/>
  <c r="B65" i="62"/>
  <c r="B93" i="62"/>
  <c r="B169" i="62"/>
  <c r="B80" i="62"/>
  <c r="B32" i="62"/>
  <c r="B54" i="63"/>
  <c r="B30" i="62"/>
  <c r="B56" i="63"/>
  <c r="B252" i="62"/>
  <c r="B180" i="62"/>
  <c r="B69" i="62"/>
  <c r="B112" i="62"/>
  <c r="B195" i="62"/>
  <c r="B189" i="62"/>
  <c r="B74" i="62"/>
  <c r="B67" i="62"/>
  <c r="B150" i="62"/>
  <c r="B76" i="62"/>
  <c r="B230" i="62"/>
  <c r="B12" i="63"/>
  <c r="B16" i="63"/>
  <c r="B43" i="62"/>
  <c r="B24" i="63"/>
  <c r="B258" i="62"/>
  <c r="B222" i="62"/>
  <c r="B22" i="63"/>
  <c r="B33" i="63"/>
  <c r="B19" i="63"/>
  <c r="B99" i="62"/>
  <c r="B105" i="62"/>
  <c r="B217" i="62"/>
  <c r="B22" i="62"/>
  <c r="B136" i="62"/>
  <c r="B18" i="63"/>
  <c r="B67" i="63"/>
  <c r="B261" i="62"/>
  <c r="B119" i="62"/>
  <c r="B21" i="63"/>
  <c r="B96" i="62"/>
  <c r="B171" i="62"/>
  <c r="B127" i="62"/>
  <c r="B187" i="62"/>
  <c r="B219" i="62"/>
  <c r="B257" i="62"/>
  <c r="B77" i="63"/>
  <c r="B265" i="62"/>
  <c r="B45" i="63"/>
  <c r="B7" i="62"/>
  <c r="B134" i="62"/>
  <c r="B82" i="63"/>
  <c r="B163" i="62"/>
  <c r="B216" i="62"/>
  <c r="B268" i="62"/>
  <c r="B57" i="63"/>
  <c r="B215" i="62"/>
  <c r="B9" i="63"/>
  <c r="B47" i="62"/>
  <c r="B94" i="62"/>
  <c r="B68" i="63"/>
  <c r="B6" i="63"/>
  <c r="B140" i="62"/>
  <c r="B142" i="62"/>
  <c r="B198" i="62"/>
  <c r="B37" i="63"/>
  <c r="B182" i="62"/>
  <c r="B61" i="63"/>
  <c r="B66" i="62"/>
  <c r="B84" i="62"/>
  <c r="B73" i="62"/>
  <c r="B95" i="62"/>
  <c r="B31" i="63"/>
  <c r="B60" i="62"/>
  <c r="B111" i="62"/>
  <c r="B107" i="62"/>
  <c r="B58" i="63"/>
  <c r="B262" i="62"/>
  <c r="B228" i="62"/>
  <c r="B109" i="62"/>
  <c r="B117" i="62"/>
  <c r="B166" i="62"/>
  <c r="B23" i="62"/>
  <c r="B13" i="63"/>
  <c r="B53" i="63"/>
  <c r="B8" i="62"/>
  <c r="B87" i="62"/>
  <c r="B159" i="62"/>
  <c r="B241" i="62"/>
  <c r="B178" i="62"/>
  <c r="B210" i="62"/>
  <c r="B26" i="63"/>
  <c r="B132" i="62"/>
  <c r="B26" i="62"/>
  <c r="B209" i="62"/>
  <c r="B155" i="62"/>
  <c r="B244" i="62"/>
  <c r="B64" i="62"/>
  <c r="B251" i="62"/>
  <c r="B88" i="62"/>
  <c r="B33" i="62"/>
  <c r="B90" i="62"/>
  <c r="B16" i="62"/>
  <c r="B165" i="62"/>
  <c r="B27" i="62"/>
  <c r="B193" i="62"/>
  <c r="B72" i="62"/>
  <c r="B245" i="62"/>
  <c r="B40" i="63"/>
  <c r="B264" i="62"/>
  <c r="B43" i="63"/>
  <c r="B131" i="62"/>
  <c r="B225" i="62"/>
  <c r="B113" i="62"/>
  <c r="B206" i="62"/>
  <c r="B10" i="63"/>
  <c r="B91" i="62"/>
  <c r="B115" i="62"/>
  <c r="B226" i="62"/>
  <c r="B212" i="62"/>
  <c r="B204" i="62"/>
  <c r="B236" i="62"/>
  <c r="B271" i="62"/>
  <c r="B254" i="62"/>
  <c r="B200" i="62"/>
  <c r="B29" i="63"/>
  <c r="B229" i="62"/>
  <c r="B14" i="63"/>
  <c r="B133" i="62"/>
  <c r="B17" i="62"/>
  <c r="B139" i="62"/>
  <c r="B164" i="62"/>
  <c r="B101" i="62"/>
  <c r="B221" i="62"/>
  <c r="B74" i="63"/>
  <c r="B184" i="62"/>
  <c r="B35" i="63"/>
  <c r="B106" i="62"/>
  <c r="B179" i="62"/>
  <c r="B70" i="62"/>
  <c r="B98" i="62"/>
  <c r="B156" i="62"/>
  <c r="B62" i="63"/>
  <c r="B39" i="63"/>
  <c r="B143" i="62"/>
  <c r="B86" i="62"/>
  <c r="B42" i="63"/>
  <c r="B32" i="63"/>
  <c r="B214" i="62"/>
  <c r="B247" i="62"/>
  <c r="B175" i="62"/>
  <c r="B71" i="62"/>
  <c r="B50" i="62"/>
  <c r="B45" i="62"/>
  <c r="B38" i="63"/>
  <c r="B172" i="62"/>
  <c r="B128" i="62"/>
  <c r="B8" i="63"/>
  <c r="B20" i="63"/>
  <c r="B53" i="62"/>
  <c r="B17" i="63"/>
  <c r="B138" i="62"/>
  <c r="B260" i="62"/>
  <c r="B72" i="63"/>
  <c r="C2" i="64" l="1"/>
  <c r="G28" i="43"/>
  <c r="G26" i="43"/>
  <c r="O28" i="43"/>
  <c r="O26" i="43"/>
  <c r="C98" i="45"/>
  <c r="O46" i="43"/>
  <c r="G46" i="43"/>
  <c r="O42" i="43"/>
  <c r="O40" i="43"/>
  <c r="O38" i="43"/>
  <c r="O36" i="43"/>
  <c r="G42" i="43"/>
  <c r="G40" i="43"/>
  <c r="G38" i="43"/>
  <c r="G36" i="43"/>
  <c r="O24" i="43"/>
  <c r="O20" i="43"/>
  <c r="O18" i="43"/>
  <c r="G22" i="43"/>
  <c r="O22" i="43"/>
  <c r="O16" i="43"/>
  <c r="G24" i="43"/>
  <c r="G18" i="43"/>
  <c r="G16" i="43"/>
  <c r="G14" i="43"/>
  <c r="G24" i="42"/>
  <c r="G34" i="42"/>
  <c r="G44" i="42"/>
  <c r="Q44" i="42"/>
  <c r="Q34" i="42"/>
  <c r="Q24" i="42"/>
  <c r="Q59" i="43"/>
  <c r="P49" i="25"/>
  <c r="M55" i="25"/>
  <c r="J55" i="25"/>
  <c r="G55" i="25"/>
  <c r="D13" i="64"/>
  <c r="D114" i="46"/>
  <c r="D113" i="46"/>
  <c r="D112" i="46"/>
  <c r="D111" i="46"/>
  <c r="D110" i="46"/>
  <c r="D109" i="46"/>
  <c r="D108" i="46"/>
  <c r="B124" i="46" s="1"/>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S89" i="45"/>
  <c r="S90" i="45"/>
  <c r="S91" i="45"/>
  <c r="AO83" i="43"/>
  <c r="O14" i="43"/>
  <c r="K44" i="38"/>
  <c r="V50" i="38" s="1"/>
  <c r="D44" i="38"/>
  <c r="V45" i="38" s="1"/>
  <c r="V48" i="38" s="1"/>
  <c r="V69" i="42"/>
  <c r="L69" i="42"/>
  <c r="AB128" i="46"/>
  <c r="R129" i="46"/>
  <c r="D107" i="46"/>
  <c r="D106" i="46"/>
  <c r="D105" i="46"/>
  <c r="D104" i="46"/>
  <c r="D100" i="46"/>
  <c r="B123" i="46" s="1"/>
  <c r="D103" i="46"/>
  <c r="D99" i="46"/>
  <c r="D101" i="46"/>
  <c r="D102" i="46"/>
  <c r="D98" i="46"/>
  <c r="D97" i="46"/>
  <c r="D96" i="46"/>
  <c r="D93" i="46"/>
  <c r="D94" i="46"/>
  <c r="B122" i="46" s="1"/>
  <c r="D95" i="46"/>
  <c r="D92" i="46"/>
  <c r="D91" i="46"/>
  <c r="D87" i="46"/>
  <c r="D86" i="46"/>
  <c r="B121" i="46" s="1"/>
  <c r="D90" i="46"/>
  <c r="D89" i="46"/>
  <c r="D88" i="46"/>
  <c r="D85" i="46"/>
  <c r="D78" i="46"/>
  <c r="B120" i="46" s="1"/>
  <c r="D70" i="46"/>
  <c r="B119" i="46" s="1"/>
  <c r="D84" i="46"/>
  <c r="D83" i="46"/>
  <c r="D82" i="46"/>
  <c r="D81" i="46"/>
  <c r="D80" i="46"/>
  <c r="D79" i="46"/>
  <c r="D77" i="46"/>
  <c r="D76" i="46"/>
  <c r="D75" i="46"/>
  <c r="D74" i="46"/>
  <c r="D73" i="46"/>
  <c r="D72" i="46"/>
  <c r="D71" i="46"/>
  <c r="D63" i="46"/>
  <c r="B118" i="46" s="1"/>
  <c r="AB89" i="46"/>
  <c r="AB88" i="46"/>
  <c r="AB85" i="46"/>
  <c r="AB84" i="46"/>
  <c r="AB83" i="46"/>
  <c r="AB82" i="46"/>
  <c r="AB81" i="46"/>
  <c r="AB80" i="46"/>
  <c r="AB77" i="46"/>
  <c r="AB76" i="46"/>
  <c r="AB75" i="46"/>
  <c r="AB74" i="46"/>
  <c r="AB73" i="46"/>
  <c r="AB72" i="46"/>
  <c r="D5" i="46"/>
  <c r="D36" i="46"/>
  <c r="D3" i="46"/>
  <c r="D38" i="46"/>
  <c r="S97" i="45"/>
  <c r="S95" i="45"/>
  <c r="S96" i="45"/>
  <c r="S94" i="45"/>
  <c r="S93" i="45"/>
  <c r="S92" i="45"/>
  <c r="S87" i="45"/>
  <c r="S88" i="45"/>
  <c r="S72" i="45"/>
  <c r="S99" i="45" s="1"/>
  <c r="S71" i="45"/>
  <c r="S98" i="45" s="1"/>
  <c r="W91" i="45"/>
  <c r="W90" i="45"/>
  <c r="W93" i="45"/>
  <c r="W87" i="45"/>
  <c r="W88" i="45"/>
  <c r="W92" i="45"/>
  <c r="W89" i="45"/>
  <c r="W94" i="45"/>
  <c r="W96" i="45"/>
  <c r="W95" i="45"/>
  <c r="W99" i="45"/>
  <c r="W98" i="45"/>
  <c r="W97" i="45"/>
  <c r="W86" i="45"/>
  <c r="W85" i="45"/>
  <c r="C2" i="61"/>
  <c r="D46" i="45"/>
  <c r="G5" i="45"/>
  <c r="D43" i="45"/>
  <c r="D40" i="45"/>
  <c r="D38" i="45"/>
  <c r="D36" i="45"/>
  <c r="D32" i="45"/>
  <c r="D34" i="45"/>
  <c r="D27" i="45"/>
  <c r="D24" i="45"/>
  <c r="D21" i="45"/>
  <c r="D19" i="45"/>
  <c r="D13" i="45"/>
  <c r="D17" i="45"/>
  <c r="D9" i="45"/>
  <c r="Q72" i="25"/>
  <c r="Y67" i="25"/>
  <c r="B155" i="61"/>
  <c r="T8" i="64" a="1"/>
  <c r="T7" i="64" a="1"/>
  <c r="B7" i="61"/>
  <c r="B177" i="61"/>
  <c r="B49" i="61"/>
  <c r="B166" i="61"/>
  <c r="B163" i="61"/>
  <c r="B191" i="61"/>
  <c r="B9" i="61"/>
  <c r="B130" i="61"/>
  <c r="B162" i="61"/>
  <c r="B101" i="61"/>
  <c r="B84" i="61"/>
  <c r="B185" i="61"/>
  <c r="B109" i="61"/>
  <c r="B117" i="61"/>
  <c r="B74" i="61"/>
  <c r="B171" i="61"/>
  <c r="B28" i="61"/>
  <c r="B35" i="61"/>
  <c r="B189" i="61"/>
  <c r="B118" i="61"/>
  <c r="B176" i="61"/>
  <c r="B187" i="61"/>
  <c r="B43" i="61"/>
  <c r="B169" i="61"/>
  <c r="B144" i="61"/>
  <c r="B183" i="61"/>
  <c r="B94" i="61"/>
  <c r="B172" i="61"/>
  <c r="B115" i="61"/>
  <c r="B80" i="61"/>
  <c r="B38" i="61"/>
  <c r="B195" i="61"/>
  <c r="B139" i="61"/>
  <c r="B12" i="61"/>
  <c r="B184" i="61"/>
  <c r="B180" i="61"/>
  <c r="B125" i="61"/>
  <c r="B29" i="61"/>
  <c r="B194" i="61"/>
  <c r="B42" i="61"/>
  <c r="B81" i="61"/>
  <c r="B64" i="61"/>
  <c r="B82" i="61"/>
  <c r="B186" i="61"/>
  <c r="B16" i="61"/>
  <c r="B100" i="61"/>
  <c r="B97" i="61"/>
  <c r="B25" i="61"/>
  <c r="B65" i="61"/>
  <c r="B147" i="61"/>
  <c r="B56" i="61"/>
  <c r="B174" i="61"/>
  <c r="B102" i="61"/>
  <c r="B120" i="61"/>
  <c r="B150" i="61"/>
  <c r="B40" i="61"/>
  <c r="B127" i="61"/>
  <c r="B132" i="61"/>
  <c r="B89" i="61"/>
  <c r="B105" i="61"/>
  <c r="B27" i="61"/>
  <c r="B160" i="61"/>
  <c r="B41" i="61"/>
  <c r="B111" i="61"/>
  <c r="B8" i="61"/>
  <c r="B153" i="61"/>
  <c r="B57" i="61"/>
  <c r="B136" i="61"/>
  <c r="B59" i="61"/>
  <c r="B113" i="61"/>
  <c r="B36" i="61"/>
  <c r="B51" i="61"/>
  <c r="B116" i="61"/>
  <c r="B110" i="61"/>
  <c r="B161" i="61"/>
  <c r="B87" i="61"/>
  <c r="B128" i="61"/>
  <c r="B135" i="61"/>
  <c r="B24" i="61"/>
  <c r="B145" i="61"/>
  <c r="B152" i="61"/>
  <c r="B10" i="61"/>
  <c r="B76" i="61"/>
  <c r="B26" i="61"/>
  <c r="B131" i="61"/>
  <c r="B164" i="61"/>
  <c r="B92" i="61"/>
  <c r="B159" i="61"/>
  <c r="B175" i="61"/>
  <c r="B165" i="61"/>
  <c r="B14" i="61"/>
  <c r="B119" i="61"/>
  <c r="B11" i="61"/>
  <c r="B66" i="61"/>
  <c r="B95" i="61"/>
  <c r="B168" i="61"/>
  <c r="B178" i="61"/>
  <c r="B142" i="61"/>
  <c r="B37" i="61"/>
  <c r="B44" i="61"/>
  <c r="B173" i="61"/>
  <c r="B20" i="61"/>
  <c r="B73" i="61"/>
  <c r="B19" i="61"/>
  <c r="B13" i="61"/>
  <c r="B83" i="61"/>
  <c r="B114" i="61"/>
  <c r="B21" i="61"/>
  <c r="B17" i="61"/>
  <c r="B22" i="61"/>
  <c r="B181" i="61"/>
  <c r="B112" i="61"/>
  <c r="B193" i="61"/>
  <c r="B151" i="61"/>
  <c r="B63" i="61"/>
  <c r="B70" i="61"/>
  <c r="B68" i="61"/>
  <c r="B55" i="61"/>
  <c r="B62" i="61"/>
  <c r="B93" i="61"/>
  <c r="B143" i="61"/>
  <c r="B88" i="61"/>
  <c r="B106" i="61"/>
  <c r="B67" i="61"/>
  <c r="B126" i="61"/>
  <c r="B23" i="61"/>
  <c r="B15" i="61"/>
  <c r="B170" i="61"/>
  <c r="B192" i="61"/>
  <c r="B39" i="61"/>
  <c r="B179" i="61"/>
  <c r="B60" i="61"/>
  <c r="B190" i="61"/>
  <c r="B61" i="61"/>
  <c r="B50" i="61"/>
  <c r="B167" i="61"/>
  <c r="B99" i="61"/>
  <c r="B98" i="61"/>
  <c r="B90" i="61"/>
  <c r="B91" i="61"/>
  <c r="B133" i="61"/>
  <c r="B182" i="61"/>
  <c r="B75" i="61"/>
  <c r="B45" i="61"/>
  <c r="B18" i="61"/>
  <c r="B58" i="61"/>
  <c r="B146" i="61"/>
  <c r="B137" i="61"/>
  <c r="B104" i="61"/>
  <c r="B46" i="61"/>
  <c r="B96" i="61"/>
  <c r="B69" i="61"/>
  <c r="B140" i="61"/>
  <c r="B103" i="61"/>
  <c r="B54" i="61"/>
  <c r="B141" i="61"/>
  <c r="B134" i="61"/>
  <c r="B188" i="61"/>
  <c r="B138" i="61"/>
  <c r="B129" i="61"/>
  <c r="B6" i="61"/>
  <c r="B79" i="61"/>
  <c r="I133" i="46" l="1"/>
  <c r="T8" i="64"/>
  <c r="T7" i="64"/>
  <c r="V46" i="38"/>
  <c r="V47" i="38"/>
  <c r="V49" i="38"/>
  <c r="AA49" i="38" s="1"/>
  <c r="X45" i="38"/>
  <c r="V54" i="38"/>
  <c r="U54" i="38" s="1"/>
  <c r="V53" i="38"/>
  <c r="AA53" i="38" s="1"/>
  <c r="V52" i="38"/>
  <c r="V51" i="38"/>
  <c r="T2" i="46"/>
  <c r="U2" i="45"/>
  <c r="AE90" i="45"/>
  <c r="AE89" i="45"/>
  <c r="AE94" i="45"/>
  <c r="AE92" i="45"/>
  <c r="D69" i="29"/>
  <c r="AH146" i="45"/>
  <c r="S6" i="45"/>
  <c r="O93" i="45" s="1"/>
  <c r="S5" i="45"/>
  <c r="S4" i="45"/>
  <c r="S3" i="45"/>
  <c r="BC2" i="43"/>
  <c r="O56" i="43"/>
  <c r="G56" i="43"/>
  <c r="O52" i="43"/>
  <c r="G52" i="43"/>
  <c r="O48" i="43"/>
  <c r="G48" i="43"/>
  <c r="G20" i="43"/>
  <c r="AQ14" i="43"/>
  <c r="AC7" i="43"/>
  <c r="AB9" i="43"/>
  <c r="AC6" i="43"/>
  <c r="AC8" i="43"/>
  <c r="N6" i="42"/>
  <c r="D6" i="42"/>
  <c r="D19" i="42"/>
  <c r="C84" i="25"/>
  <c r="E97" i="25" s="1"/>
  <c r="M13" i="45"/>
  <c r="V7" i="42"/>
  <c r="M15" i="45"/>
  <c r="L7" i="42"/>
  <c r="Y86" i="25"/>
  <c r="R106" i="29"/>
  <c r="L81" i="25"/>
  <c r="G9" i="38"/>
  <c r="V31" i="42"/>
  <c r="V41" i="42"/>
  <c r="L51" i="42"/>
  <c r="D58" i="43"/>
  <c r="L31" i="42"/>
  <c r="V51" i="42"/>
  <c r="L41" i="42"/>
  <c r="R108" i="29"/>
  <c r="L80" i="25"/>
  <c r="L97" i="25" s="1"/>
  <c r="Y75" i="25"/>
  <c r="M49" i="25"/>
  <c r="Y98" i="25"/>
  <c r="Y78" i="25"/>
  <c r="L79" i="25"/>
  <c r="L87" i="25" s="1"/>
  <c r="R113" i="29"/>
  <c r="R116" i="29"/>
  <c r="C79" i="25"/>
  <c r="E96" i="25" s="1"/>
  <c r="J49" i="25"/>
  <c r="Y79" i="25"/>
  <c r="D34" i="43"/>
  <c r="Y83" i="25"/>
  <c r="R115" i="29"/>
  <c r="L9" i="43"/>
  <c r="R107" i="29"/>
  <c r="W55" i="43"/>
  <c r="J44" i="42"/>
  <c r="T34" i="42"/>
  <c r="T44" i="42"/>
  <c r="J24" i="42"/>
  <c r="W45" i="43"/>
  <c r="W35" i="43"/>
  <c r="J54" i="42"/>
  <c r="T54" i="42"/>
  <c r="W51" i="43"/>
  <c r="J34" i="42"/>
  <c r="W13" i="43"/>
  <c r="T24" i="42"/>
  <c r="T10" i="38"/>
  <c r="F126" i="63"/>
  <c r="S126" i="63" s="1"/>
  <c r="F105" i="63"/>
  <c r="K105" i="63" s="1"/>
  <c r="F119" i="63"/>
  <c r="O119" i="63" s="1"/>
  <c r="F110" i="63"/>
  <c r="K110" i="63" s="1"/>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AZ82" i="42"/>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F123" i="63"/>
  <c r="S123" i="63" s="1"/>
  <c r="AA71" i="25"/>
  <c r="F102" i="63"/>
  <c r="G102" i="63" s="1"/>
  <c r="F115" i="63"/>
  <c r="S115" i="63" s="1"/>
  <c r="AA70" i="25"/>
  <c r="AA97" i="25"/>
  <c r="AA77" i="25"/>
  <c r="F131" i="63"/>
  <c r="O131" i="63" s="1"/>
  <c r="F107" i="63"/>
  <c r="K107" i="63" s="1"/>
  <c r="AP9" i="38"/>
  <c r="D13" i="38"/>
  <c r="S15" i="42"/>
  <c r="Y95" i="25"/>
  <c r="D11" i="42"/>
  <c r="Y87" i="25"/>
  <c r="C81" i="25"/>
  <c r="V2" i="25"/>
  <c r="D24" i="29"/>
  <c r="E32" i="43"/>
  <c r="S16" i="42"/>
  <c r="E98" i="25"/>
  <c r="L83" i="25"/>
  <c r="AQ9" i="38"/>
  <c r="Y94" i="25"/>
  <c r="U26" i="29"/>
  <c r="S26" i="29" s="1"/>
  <c r="AL2" i="38"/>
  <c r="AL9" i="38"/>
  <c r="D17" i="25"/>
  <c r="T9" i="38"/>
  <c r="S12" i="38"/>
  <c r="R111" i="29"/>
  <c r="G49" i="25"/>
  <c r="C78" i="25"/>
  <c r="Y82" i="25"/>
  <c r="C83" i="25"/>
  <c r="E95" i="25" s="1"/>
  <c r="D14" i="29"/>
  <c r="S14" i="42"/>
  <c r="Y84" i="25"/>
  <c r="T11" i="38"/>
  <c r="G54" i="42"/>
  <c r="G51" i="43"/>
  <c r="G13" i="43"/>
  <c r="G55" i="43"/>
  <c r="G35" i="43"/>
  <c r="Q54" i="42"/>
  <c r="G45" i="43"/>
  <c r="R105" i="29"/>
  <c r="P55" i="25"/>
  <c r="L82" i="25"/>
  <c r="L95" i="25" s="1"/>
  <c r="Y92" i="25"/>
  <c r="Y74" i="25"/>
  <c r="V2" i="29"/>
  <c r="Y68" i="25"/>
  <c r="Y97" i="25"/>
  <c r="Y81" i="25"/>
  <c r="Y88" i="25"/>
  <c r="Y96" i="25"/>
  <c r="D50" i="43"/>
  <c r="D22" i="29"/>
  <c r="D14" i="42"/>
  <c r="Y77" i="25"/>
  <c r="S2" i="41"/>
  <c r="C77" i="25"/>
  <c r="D54" i="43"/>
  <c r="P54" i="42"/>
  <c r="F34" i="42"/>
  <c r="F13" i="43"/>
  <c r="F35" i="43"/>
  <c r="F51" i="43"/>
  <c r="P44" i="42"/>
  <c r="F45" i="43"/>
  <c r="F55" i="43"/>
  <c r="P34" i="42"/>
  <c r="P24" i="42"/>
  <c r="F54" i="42"/>
  <c r="F44" i="42"/>
  <c r="F24" i="42"/>
  <c r="Y91" i="25"/>
  <c r="E55" i="43"/>
  <c r="E51" i="43"/>
  <c r="O34" i="42"/>
  <c r="E13" i="43"/>
  <c r="E44" i="42"/>
  <c r="E34" i="42"/>
  <c r="E24" i="42"/>
  <c r="E35" i="43"/>
  <c r="E45" i="43"/>
  <c r="O44" i="42"/>
  <c r="O24" i="42"/>
  <c r="E54" i="42"/>
  <c r="O54" i="42"/>
  <c r="Y80" i="25"/>
  <c r="C80" i="25"/>
  <c r="R112" i="29"/>
  <c r="Y70" i="25"/>
  <c r="AO9" i="38"/>
  <c r="Y71" i="25"/>
  <c r="BC2" i="42"/>
  <c r="D44" i="43"/>
  <c r="E31" i="43"/>
  <c r="D33" i="43"/>
  <c r="Y89" i="25"/>
  <c r="D5" i="38"/>
  <c r="V22" i="42"/>
  <c r="Y12" i="43"/>
  <c r="Y76" i="25"/>
  <c r="C82" i="25"/>
  <c r="D5" i="43"/>
  <c r="Y73" i="25"/>
  <c r="D3" i="45"/>
  <c r="D3" i="42"/>
  <c r="D3" i="38"/>
  <c r="D3" i="43"/>
  <c r="Y72" i="25"/>
  <c r="R114" i="29"/>
  <c r="Y93" i="25"/>
  <c r="Y69" i="25"/>
  <c r="D11" i="43"/>
  <c r="Y90" i="25"/>
  <c r="D9" i="42"/>
  <c r="Y85" i="25"/>
  <c r="R109" i="29"/>
  <c r="R110" i="29"/>
  <c r="K34" i="38"/>
  <c r="V40" i="38" s="1"/>
  <c r="AB40" i="38" s="1"/>
  <c r="AE40" i="38" s="1"/>
  <c r="AL41" i="38" s="1"/>
  <c r="AL45" i="38" s="1"/>
  <c r="AB45" i="38"/>
  <c r="AE45" i="38" s="1"/>
  <c r="AL46" i="38" s="1"/>
  <c r="AL50" i="38" s="1"/>
  <c r="N53" i="42"/>
  <c r="AJ73" i="42" s="1"/>
  <c r="AJ90" i="42" s="1"/>
  <c r="K24" i="38"/>
  <c r="V30" i="38" s="1"/>
  <c r="AB30" i="38" s="1"/>
  <c r="AE30" i="38" s="1"/>
  <c r="AL31" i="38" s="1"/>
  <c r="AL35" i="38" s="1"/>
  <c r="D53" i="42"/>
  <c r="Y53" i="42" s="1"/>
  <c r="D34" i="38"/>
  <c r="V35" i="38" s="1"/>
  <c r="AB35" i="38" s="1"/>
  <c r="AC35" i="38" s="1"/>
  <c r="N43" i="42"/>
  <c r="AE66" i="42" s="1"/>
  <c r="D24" i="38"/>
  <c r="V25" i="38" s="1"/>
  <c r="AB25" i="38" s="1"/>
  <c r="AE25" i="38" s="1"/>
  <c r="AL26" i="38" s="1"/>
  <c r="AL30" i="38" s="1"/>
  <c r="AB50" i="38"/>
  <c r="AE50" i="38" s="1"/>
  <c r="AL51" i="38" s="1"/>
  <c r="D14" i="38"/>
  <c r="V15" i="38" s="1"/>
  <c r="AB15" i="38" s="1"/>
  <c r="AE15" i="38" s="1"/>
  <c r="AL16" i="38" s="1"/>
  <c r="AL20" i="38" s="1"/>
  <c r="N33" i="42"/>
  <c r="AC66" i="42" s="1"/>
  <c r="D23" i="42"/>
  <c r="Y23" i="42" s="1"/>
  <c r="D33" i="42"/>
  <c r="K14" i="38"/>
  <c r="V20" i="38" s="1"/>
  <c r="AB20" i="38" s="1"/>
  <c r="AE20" i="38" s="1"/>
  <c r="AL21" i="38" s="1"/>
  <c r="AL25" i="38" s="1"/>
  <c r="D43" i="42"/>
  <c r="Y43" i="42" s="1"/>
  <c r="N23" i="42"/>
  <c r="AA66" i="42" s="1"/>
  <c r="AA48" i="38"/>
  <c r="U48" i="38"/>
  <c r="AB5" i="45"/>
  <c r="R101" i="63" l="1"/>
  <c r="G101" i="63"/>
  <c r="D11" i="64"/>
  <c r="AA125" i="45"/>
  <c r="AA142" i="45"/>
  <c r="AA139" i="45"/>
  <c r="AA146" i="45"/>
  <c r="AA144" i="45"/>
  <c r="AA127" i="45"/>
  <c r="AA135" i="45"/>
  <c r="AA148" i="45"/>
  <c r="AA153" i="45"/>
  <c r="AA131" i="45"/>
  <c r="AA141" i="45"/>
  <c r="AA130" i="45"/>
  <c r="AA124" i="45"/>
  <c r="AA126" i="45"/>
  <c r="AA138" i="45"/>
  <c r="AA143" i="45"/>
  <c r="AA151" i="45"/>
  <c r="AA147" i="45"/>
  <c r="AA137" i="45"/>
  <c r="AA145" i="45"/>
  <c r="AA140" i="45"/>
  <c r="AA128" i="45"/>
  <c r="P50" i="25"/>
  <c r="AA132" i="45"/>
  <c r="AA134" i="45"/>
  <c r="AA136" i="45"/>
  <c r="AA133" i="45"/>
  <c r="AA123" i="45"/>
  <c r="AA152" i="45"/>
  <c r="AA129" i="45"/>
  <c r="AA150" i="45"/>
  <c r="AA149" i="45"/>
  <c r="AE88" i="25"/>
  <c r="AG88" i="25" s="1"/>
  <c r="AG23" i="42"/>
  <c r="AH130" i="45"/>
  <c r="AG130" i="45" s="1"/>
  <c r="AH126" i="45"/>
  <c r="AG126" i="45" s="1"/>
  <c r="AH151" i="45"/>
  <c r="AH147" i="45"/>
  <c r="AH143" i="45"/>
  <c r="AG143" i="45" s="1"/>
  <c r="AH139" i="45"/>
  <c r="AG139" i="45" s="1"/>
  <c r="AH135" i="45"/>
  <c r="AG135" i="45" s="1"/>
  <c r="AH131" i="45"/>
  <c r="AG131" i="45" s="1"/>
  <c r="AH127" i="45"/>
  <c r="AG127" i="45" s="1"/>
  <c r="AH123" i="45"/>
  <c r="AG123" i="45" s="1"/>
  <c r="AH150" i="45"/>
  <c r="AH142" i="45"/>
  <c r="AG142" i="45" s="1"/>
  <c r="AH134" i="45"/>
  <c r="AG134" i="45" s="1"/>
  <c r="AH138" i="45"/>
  <c r="AG138" i="45" s="1"/>
  <c r="AH152" i="45"/>
  <c r="AH148" i="45"/>
  <c r="AH144" i="45"/>
  <c r="AG144" i="45" s="1"/>
  <c r="AH140" i="45"/>
  <c r="AG140" i="45" s="1"/>
  <c r="AH136" i="45"/>
  <c r="AG136" i="45" s="1"/>
  <c r="AH132" i="45"/>
  <c r="AG132" i="45" s="1"/>
  <c r="AH128" i="45"/>
  <c r="AG128" i="45" s="1"/>
  <c r="AH124" i="45"/>
  <c r="AG124" i="45" s="1"/>
  <c r="AH153" i="45"/>
  <c r="AH149" i="45"/>
  <c r="AH145" i="45"/>
  <c r="AG145" i="45" s="1"/>
  <c r="AH141" i="45"/>
  <c r="AG141" i="45" s="1"/>
  <c r="AH137" i="45"/>
  <c r="AG137" i="45" s="1"/>
  <c r="AH133" i="45"/>
  <c r="AG133" i="45" s="1"/>
  <c r="AH129" i="45"/>
  <c r="AG129" i="45" s="1"/>
  <c r="AH125" i="45"/>
  <c r="AG125" i="45" s="1"/>
  <c r="AA47" i="38"/>
  <c r="AA122" i="45"/>
  <c r="AQ73" i="43"/>
  <c r="U47" i="38"/>
  <c r="U51" i="38"/>
  <c r="AA52" i="38"/>
  <c r="AA46" i="38"/>
  <c r="AG12" i="42"/>
  <c r="AA54" i="38"/>
  <c r="U49" i="38"/>
  <c r="U53" i="38"/>
  <c r="AA51" i="38"/>
  <c r="U52" i="38"/>
  <c r="U46" i="38"/>
  <c r="AO56" i="38"/>
  <c r="AO66" i="38"/>
  <c r="AQ56" i="38"/>
  <c r="AQ66" i="38"/>
  <c r="AP56" i="38"/>
  <c r="AP66" i="38"/>
  <c r="AG17" i="42"/>
  <c r="AG24" i="42"/>
  <c r="AG25" i="42"/>
  <c r="AG36" i="42"/>
  <c r="AG35" i="42"/>
  <c r="K102" i="63"/>
  <c r="AE107" i="45"/>
  <c r="AE108" i="45"/>
  <c r="AE102" i="45"/>
  <c r="AE98" i="45"/>
  <c r="AE99" i="45"/>
  <c r="AH122" i="45"/>
  <c r="AG122" i="45" s="1"/>
  <c r="L110" i="63"/>
  <c r="L96" i="25"/>
  <c r="AQ17" i="43"/>
  <c r="AQ50" i="43"/>
  <c r="AQ37" i="43"/>
  <c r="AQ40" i="43"/>
  <c r="AQ89" i="43"/>
  <c r="AQ30" i="43"/>
  <c r="AQ41" i="43"/>
  <c r="AQ83" i="43"/>
  <c r="AQ19" i="43"/>
  <c r="AQ26" i="43"/>
  <c r="AE86" i="25"/>
  <c r="AG86" i="25" s="1"/>
  <c r="AQ22" i="43"/>
  <c r="AQ47" i="43"/>
  <c r="AE80" i="25"/>
  <c r="AG80" i="25" s="1"/>
  <c r="AQ39" i="43"/>
  <c r="AC97" i="25"/>
  <c r="AQ103" i="43"/>
  <c r="AC74" i="25"/>
  <c r="AQ80" i="43"/>
  <c r="AC95" i="25"/>
  <c r="AQ101" i="43"/>
  <c r="AC94" i="25"/>
  <c r="AQ100" i="43"/>
  <c r="AQ29" i="43"/>
  <c r="AC79" i="25"/>
  <c r="AQ85" i="43"/>
  <c r="AC81" i="25"/>
  <c r="AQ87" i="43"/>
  <c r="AQ52" i="43"/>
  <c r="AQ16" i="43"/>
  <c r="AQ45" i="43"/>
  <c r="AQ76" i="43"/>
  <c r="AC87" i="25"/>
  <c r="AQ93" i="43"/>
  <c r="AC84" i="25"/>
  <c r="AQ90" i="43"/>
  <c r="AQ97" i="43"/>
  <c r="AC89" i="25"/>
  <c r="AQ95" i="43"/>
  <c r="AQ78" i="43"/>
  <c r="AQ34" i="43"/>
  <c r="AQ24" i="43"/>
  <c r="AC78" i="25"/>
  <c r="AQ84" i="43"/>
  <c r="AQ42" i="43"/>
  <c r="AQ46" i="43"/>
  <c r="AQ44" i="43"/>
  <c r="AQ32" i="43"/>
  <c r="AC80" i="25"/>
  <c r="AQ86" i="43"/>
  <c r="AC93" i="25"/>
  <c r="AQ99" i="43"/>
  <c r="AC98" i="25"/>
  <c r="AQ104" i="43"/>
  <c r="AQ74" i="43"/>
  <c r="AC76" i="25"/>
  <c r="AQ82" i="43"/>
  <c r="AQ92" i="43"/>
  <c r="AC75" i="25"/>
  <c r="AQ81" i="43"/>
  <c r="AQ75" i="43"/>
  <c r="AC71" i="25"/>
  <c r="AQ77" i="43"/>
  <c r="AQ94" i="43"/>
  <c r="AC96" i="25"/>
  <c r="AQ102" i="43"/>
  <c r="AE74" i="25"/>
  <c r="AG74" i="25" s="1"/>
  <c r="AQ20" i="43"/>
  <c r="AQ21" i="43"/>
  <c r="AQ36" i="43"/>
  <c r="AB19" i="45"/>
  <c r="AQ31" i="43"/>
  <c r="AQ51" i="43"/>
  <c r="AE87" i="25"/>
  <c r="AG87" i="25" s="1"/>
  <c r="AQ35" i="43"/>
  <c r="AC92" i="25"/>
  <c r="AQ98" i="43"/>
  <c r="AC82" i="25"/>
  <c r="AQ88" i="43"/>
  <c r="AC90" i="25"/>
  <c r="AQ96" i="43"/>
  <c r="AQ25" i="43"/>
  <c r="AQ15" i="43"/>
  <c r="AE95" i="25"/>
  <c r="AG95" i="25" s="1"/>
  <c r="AQ49" i="43"/>
  <c r="AC85" i="25"/>
  <c r="AQ91" i="43"/>
  <c r="AC73" i="25"/>
  <c r="AQ79" i="43"/>
  <c r="AQ27" i="43"/>
  <c r="M120" i="63"/>
  <c r="P120" i="63"/>
  <c r="J101" i="63"/>
  <c r="M50" i="25"/>
  <c r="K101" i="63"/>
  <c r="N101" i="63"/>
  <c r="AE79" i="25"/>
  <c r="AG79" i="25" s="1"/>
  <c r="G100" i="63"/>
  <c r="P101" i="63"/>
  <c r="G108" i="63"/>
  <c r="AC69" i="25"/>
  <c r="I100" i="63"/>
  <c r="AB30" i="45"/>
  <c r="AB24" i="45"/>
  <c r="AC86" i="25"/>
  <c r="I101" i="63"/>
  <c r="L101" i="63"/>
  <c r="O101" i="63"/>
  <c r="H101" i="63"/>
  <c r="K100" i="63"/>
  <c r="Q101" i="63"/>
  <c r="AE73" i="25"/>
  <c r="AG73" i="25" s="1"/>
  <c r="AB21" i="45"/>
  <c r="L102" i="63"/>
  <c r="L100" i="63"/>
  <c r="S102" i="63"/>
  <c r="H100" i="63"/>
  <c r="N100" i="63"/>
  <c r="S101" i="63"/>
  <c r="AE81" i="25"/>
  <c r="AG81" i="25" s="1"/>
  <c r="J102" i="63"/>
  <c r="Q100" i="63"/>
  <c r="AB13" i="45"/>
  <c r="J100" i="63"/>
  <c r="M101" i="63"/>
  <c r="R100" i="63"/>
  <c r="AE92" i="25"/>
  <c r="AG92" i="25" s="1"/>
  <c r="E92" i="25"/>
  <c r="I102" i="63"/>
  <c r="M100" i="63"/>
  <c r="N108" i="63"/>
  <c r="T52" i="38"/>
  <c r="L92" i="25"/>
  <c r="AB17" i="45"/>
  <c r="G110" i="63"/>
  <c r="AE76" i="25"/>
  <c r="AG76" i="25" s="1"/>
  <c r="P115" i="63"/>
  <c r="I110" i="63"/>
  <c r="G56" i="25"/>
  <c r="P102" i="63"/>
  <c r="O100" i="63"/>
  <c r="P51" i="25"/>
  <c r="J125" i="63"/>
  <c r="P125" i="63"/>
  <c r="J108" i="63"/>
  <c r="Q115" i="63"/>
  <c r="G125" i="63"/>
  <c r="N125" i="63"/>
  <c r="L93" i="25"/>
  <c r="L90" i="25"/>
  <c r="AB22" i="45"/>
  <c r="AB12" i="45"/>
  <c r="N109" i="63"/>
  <c r="O109" i="63"/>
  <c r="O125" i="63"/>
  <c r="J53" i="25"/>
  <c r="S108" i="63"/>
  <c r="AB92" i="25"/>
  <c r="N102" i="63"/>
  <c r="O102" i="63"/>
  <c r="H102" i="63"/>
  <c r="Q102" i="63"/>
  <c r="AB75" i="25"/>
  <c r="I109" i="63"/>
  <c r="I115" i="63"/>
  <c r="J115" i="63"/>
  <c r="M115" i="63"/>
  <c r="S100" i="63"/>
  <c r="AB93" i="25"/>
  <c r="T47" i="38"/>
  <c r="M102" i="63"/>
  <c r="AB15" i="45"/>
  <c r="M52" i="25"/>
  <c r="J50" i="25"/>
  <c r="AE91" i="25"/>
  <c r="AG91" i="25" s="1"/>
  <c r="R115" i="63"/>
  <c r="Q125" i="63"/>
  <c r="H115" i="63"/>
  <c r="L108" i="63"/>
  <c r="K115" i="63"/>
  <c r="AE67" i="25"/>
  <c r="AG67" i="25" s="1"/>
  <c r="I125" i="63"/>
  <c r="K108" i="63"/>
  <c r="L115" i="63"/>
  <c r="AE72" i="25"/>
  <c r="AG72" i="25" s="1"/>
  <c r="G109" i="63"/>
  <c r="J109" i="63"/>
  <c r="H125" i="63"/>
  <c r="K109" i="63"/>
  <c r="N115" i="63"/>
  <c r="O108" i="63"/>
  <c r="Q109" i="63"/>
  <c r="AB7" i="45"/>
  <c r="H109" i="63"/>
  <c r="L109" i="63"/>
  <c r="K125" i="63"/>
  <c r="Q108" i="63"/>
  <c r="R109" i="63"/>
  <c r="S109" i="63"/>
  <c r="AB9" i="45"/>
  <c r="G115" i="63"/>
  <c r="I108" i="63"/>
  <c r="M109" i="63"/>
  <c r="L125" i="63"/>
  <c r="R108" i="63"/>
  <c r="O115" i="63"/>
  <c r="AE96" i="25"/>
  <c r="AG96" i="25" s="1"/>
  <c r="T48" i="38"/>
  <c r="AB69" i="25"/>
  <c r="R102" i="63"/>
  <c r="T54" i="38"/>
  <c r="AE98" i="25"/>
  <c r="AC91" i="25"/>
  <c r="AB36" i="45"/>
  <c r="L114" i="63"/>
  <c r="M59" i="25"/>
  <c r="AB70" i="25"/>
  <c r="AB98" i="25"/>
  <c r="AB87" i="25"/>
  <c r="AE75" i="25"/>
  <c r="AG75" i="25" s="1"/>
  <c r="N112" i="63"/>
  <c r="M57" i="25"/>
  <c r="AB91" i="25"/>
  <c r="M58" i="25"/>
  <c r="AB72" i="25"/>
  <c r="AE93" i="25"/>
  <c r="AG93" i="25" s="1"/>
  <c r="AB89" i="25"/>
  <c r="V21" i="38"/>
  <c r="Y8" i="38" s="1"/>
  <c r="I114" i="63"/>
  <c r="N114" i="63"/>
  <c r="P114" i="63"/>
  <c r="AE71" i="25"/>
  <c r="AG71" i="25" s="1"/>
  <c r="AB31" i="45"/>
  <c r="AB84" i="25"/>
  <c r="H114" i="63"/>
  <c r="S114" i="63"/>
  <c r="G114" i="63"/>
  <c r="AC70" i="25"/>
  <c r="AB27" i="45"/>
  <c r="Z66" i="42"/>
  <c r="K114" i="63"/>
  <c r="AC72" i="25"/>
  <c r="AK90" i="42"/>
  <c r="AP90" i="42" s="1"/>
  <c r="P59" i="25"/>
  <c r="AB77" i="25"/>
  <c r="H108" i="63"/>
  <c r="M108" i="63"/>
  <c r="M125" i="63"/>
  <c r="R125" i="63"/>
  <c r="AE90" i="25"/>
  <c r="AG90" i="25" s="1"/>
  <c r="AE68" i="25"/>
  <c r="AG68" i="25" s="1"/>
  <c r="G52" i="25"/>
  <c r="K121" i="63"/>
  <c r="M53" i="25"/>
  <c r="I121" i="63"/>
  <c r="P129" i="63"/>
  <c r="S121" i="63"/>
  <c r="H121" i="63"/>
  <c r="O121" i="63"/>
  <c r="R129" i="63"/>
  <c r="G121" i="63"/>
  <c r="H104" i="63"/>
  <c r="K130" i="63"/>
  <c r="O130" i="63"/>
  <c r="K129" i="63"/>
  <c r="S40" i="29"/>
  <c r="AE77" i="25"/>
  <c r="AG77" i="25" s="1"/>
  <c r="S28" i="29"/>
  <c r="AB79" i="25"/>
  <c r="I112" i="63"/>
  <c r="AC77" i="25"/>
  <c r="S34" i="29"/>
  <c r="G116" i="63"/>
  <c r="AC68" i="25"/>
  <c r="N126" i="63"/>
  <c r="AB68" i="25"/>
  <c r="I106" i="63"/>
  <c r="P112" i="63"/>
  <c r="O126" i="63"/>
  <c r="S116" i="63"/>
  <c r="L85" i="25"/>
  <c r="Q112" i="63"/>
  <c r="P126" i="63"/>
  <c r="J112" i="63"/>
  <c r="I126" i="63"/>
  <c r="L116" i="63"/>
  <c r="Q126" i="63"/>
  <c r="P106" i="63"/>
  <c r="AB81" i="25"/>
  <c r="G126" i="63"/>
  <c r="G112" i="63"/>
  <c r="H112" i="63"/>
  <c r="J126" i="63"/>
  <c r="K116" i="63"/>
  <c r="K106" i="63"/>
  <c r="R126" i="63"/>
  <c r="O106" i="63"/>
  <c r="G57" i="25"/>
  <c r="AB33" i="42"/>
  <c r="H126" i="63"/>
  <c r="M116" i="63"/>
  <c r="L106" i="63"/>
  <c r="O116" i="63"/>
  <c r="I116" i="63"/>
  <c r="K126" i="63"/>
  <c r="N116" i="63"/>
  <c r="P116" i="63"/>
  <c r="J116" i="63"/>
  <c r="L112" i="63"/>
  <c r="L126" i="63"/>
  <c r="Q116" i="63"/>
  <c r="H116" i="63"/>
  <c r="K112" i="63"/>
  <c r="M126" i="63"/>
  <c r="O112" i="63"/>
  <c r="AB29" i="45"/>
  <c r="V22" i="38"/>
  <c r="Z5" i="38" s="1"/>
  <c r="AB28" i="45"/>
  <c r="AE69" i="25"/>
  <c r="AG69" i="25" s="1"/>
  <c r="V34" i="38"/>
  <c r="U34" i="38" s="1"/>
  <c r="I103" i="63"/>
  <c r="T46" i="38"/>
  <c r="AB34" i="45"/>
  <c r="AC20" i="38"/>
  <c r="V24" i="38"/>
  <c r="AA24" i="38" s="1"/>
  <c r="AB43" i="42"/>
  <c r="L91" i="25"/>
  <c r="V23" i="38"/>
  <c r="AA23" i="38" s="1"/>
  <c r="AG38" i="42"/>
  <c r="AJ10" i="42"/>
  <c r="AJ83" i="42" s="1"/>
  <c r="J114" i="63"/>
  <c r="M107" i="63"/>
  <c r="M114" i="63"/>
  <c r="K120" i="63"/>
  <c r="O114" i="63"/>
  <c r="P119" i="63"/>
  <c r="R106" i="63"/>
  <c r="AB74" i="25"/>
  <c r="V44" i="38"/>
  <c r="AA44" i="38" s="1"/>
  <c r="V32" i="38"/>
  <c r="Y9" i="38" s="1"/>
  <c r="J106" i="63"/>
  <c r="M112" i="63"/>
  <c r="M106" i="63"/>
  <c r="R112" i="63"/>
  <c r="R114" i="63"/>
  <c r="Q106" i="63"/>
  <c r="S106" i="63"/>
  <c r="AB23" i="42"/>
  <c r="G106" i="63"/>
  <c r="H106" i="63"/>
  <c r="AH75" i="42"/>
  <c r="S113" i="63"/>
  <c r="E88" i="25"/>
  <c r="E89" i="25"/>
  <c r="J56" i="25"/>
  <c r="AG37" i="42"/>
  <c r="AE35" i="38"/>
  <c r="AL36" i="38" s="1"/>
  <c r="AL40" i="38" s="1"/>
  <c r="V17" i="38"/>
  <c r="Y5" i="38" s="1"/>
  <c r="AC30" i="38"/>
  <c r="AJ55" i="42"/>
  <c r="AH59" i="42" s="1"/>
  <c r="V36" i="38"/>
  <c r="Y11" i="38" s="1"/>
  <c r="P113" i="63"/>
  <c r="Q119" i="63"/>
  <c r="Q120" i="63"/>
  <c r="AB67" i="25"/>
  <c r="V38" i="38"/>
  <c r="AA38" i="38" s="1"/>
  <c r="AB14" i="45"/>
  <c r="J51" i="25"/>
  <c r="V33" i="38"/>
  <c r="AG66" i="42"/>
  <c r="AJ37" i="42"/>
  <c r="AH42" i="42" s="1"/>
  <c r="I123" i="63"/>
  <c r="H124" i="63"/>
  <c r="Q113" i="63"/>
  <c r="AE89" i="25"/>
  <c r="AG89" i="25" s="1"/>
  <c r="AB10" i="45"/>
  <c r="AB11" i="45"/>
  <c r="AE85" i="25"/>
  <c r="AG85" i="25" s="1"/>
  <c r="L94" i="25"/>
  <c r="AB8" i="45"/>
  <c r="AB26" i="45"/>
  <c r="AG28" i="42"/>
  <c r="AF66" i="42"/>
  <c r="AJ64" i="42"/>
  <c r="AH66" i="42" s="1"/>
  <c r="V37" i="38"/>
  <c r="AB53" i="42"/>
  <c r="AK79" i="42" s="1"/>
  <c r="AG67" i="42" s="1"/>
  <c r="J52" i="25"/>
  <c r="AC15" i="38"/>
  <c r="M51" i="25"/>
  <c r="AB76" i="25"/>
  <c r="T51" i="38"/>
  <c r="AH76" i="42"/>
  <c r="AJ76" i="42" s="1"/>
  <c r="V31" i="38"/>
  <c r="AJ19" i="42"/>
  <c r="AH22" i="42" s="1"/>
  <c r="L107" i="63"/>
  <c r="AH77" i="42"/>
  <c r="AE78" i="25"/>
  <c r="AG78" i="25" s="1"/>
  <c r="AG55" i="42"/>
  <c r="Y33" i="42"/>
  <c r="AC50" i="38"/>
  <c r="AH78" i="42"/>
  <c r="AJ78" i="42" s="1"/>
  <c r="AG26" i="42"/>
  <c r="AJ46" i="42"/>
  <c r="AH49" i="42" s="1"/>
  <c r="V18" i="38"/>
  <c r="AG16" i="42"/>
  <c r="V39" i="38"/>
  <c r="U39" i="38" s="1"/>
  <c r="AB66" i="42"/>
  <c r="M127" i="63"/>
  <c r="L105" i="63"/>
  <c r="AG40" i="42"/>
  <c r="X15" i="38"/>
  <c r="V16" i="38"/>
  <c r="Y6" i="38" s="1"/>
  <c r="AJ28" i="42"/>
  <c r="AH33" i="42" s="1"/>
  <c r="V19" i="38"/>
  <c r="T19" i="38" s="1"/>
  <c r="J118" i="63"/>
  <c r="G51" i="25"/>
  <c r="J122" i="63"/>
  <c r="S128" i="63"/>
  <c r="AB85" i="25"/>
  <c r="R131" i="63"/>
  <c r="J58" i="25"/>
  <c r="AB86" i="25"/>
  <c r="AB94" i="25"/>
  <c r="AB78" i="25"/>
  <c r="AB20" i="45"/>
  <c r="AB25" i="45"/>
  <c r="AG46" i="42"/>
  <c r="AG14" i="42"/>
  <c r="J121" i="63"/>
  <c r="I131" i="63"/>
  <c r="I118" i="63"/>
  <c r="I105" i="63"/>
  <c r="L127" i="63"/>
  <c r="P121" i="63"/>
  <c r="P130" i="63"/>
  <c r="Q129" i="63"/>
  <c r="AB97" i="25"/>
  <c r="E87" i="25"/>
  <c r="G58" i="25"/>
  <c r="G50" i="25"/>
  <c r="AB32" i="45"/>
  <c r="T49" i="38"/>
  <c r="AB73" i="25"/>
  <c r="AG13" i="42"/>
  <c r="G131" i="63"/>
  <c r="H131" i="63"/>
  <c r="H118" i="63"/>
  <c r="I129" i="63"/>
  <c r="L121" i="63"/>
  <c r="M131" i="63"/>
  <c r="N127" i="63"/>
  <c r="L130" i="63"/>
  <c r="M105" i="63"/>
  <c r="L129" i="63"/>
  <c r="P104" i="63"/>
  <c r="G53" i="25"/>
  <c r="AB33" i="45"/>
  <c r="AB6" i="45"/>
  <c r="AG30" i="42"/>
  <c r="AG18" i="42"/>
  <c r="G129" i="63"/>
  <c r="J127" i="63"/>
  <c r="I130" i="63"/>
  <c r="J129" i="63"/>
  <c r="M121" i="63"/>
  <c r="N131" i="63"/>
  <c r="L104" i="63"/>
  <c r="M130" i="63"/>
  <c r="N105" i="63"/>
  <c r="M129" i="63"/>
  <c r="O104" i="63"/>
  <c r="S105" i="63"/>
  <c r="AE94" i="25"/>
  <c r="AG94" i="25" s="1"/>
  <c r="AB95" i="25"/>
  <c r="AG21" i="42"/>
  <c r="AG41" i="42"/>
  <c r="G104" i="63"/>
  <c r="H127" i="63"/>
  <c r="J130" i="63"/>
  <c r="H129" i="63"/>
  <c r="J128" i="63"/>
  <c r="N121" i="63"/>
  <c r="M104" i="63"/>
  <c r="N130" i="63"/>
  <c r="N129" i="63"/>
  <c r="P118" i="63"/>
  <c r="S127" i="63"/>
  <c r="J131" i="63"/>
  <c r="L131" i="63"/>
  <c r="AB16" i="45"/>
  <c r="AE83" i="25"/>
  <c r="AG83" i="25" s="1"/>
  <c r="G59" i="25"/>
  <c r="AG49" i="42"/>
  <c r="AG15" i="42"/>
  <c r="G118" i="63"/>
  <c r="I104" i="63"/>
  <c r="H130" i="63"/>
  <c r="H128" i="63"/>
  <c r="K104" i="63"/>
  <c r="P131" i="63"/>
  <c r="Q118" i="63"/>
  <c r="AB83" i="25"/>
  <c r="AB88" i="25"/>
  <c r="V26" i="38"/>
  <c r="Y7" i="38" s="1"/>
  <c r="M56" i="25"/>
  <c r="AG51" i="42"/>
  <c r="AG48" i="42"/>
  <c r="G130" i="63"/>
  <c r="I122" i="63"/>
  <c r="J104" i="63"/>
  <c r="N104" i="63"/>
  <c r="Q131" i="63"/>
  <c r="R118" i="63"/>
  <c r="S104" i="63"/>
  <c r="AC45" i="38"/>
  <c r="X35" i="38"/>
  <c r="V29" i="38"/>
  <c r="T29" i="38" s="1"/>
  <c r="G124" i="63"/>
  <c r="H103" i="63"/>
  <c r="I113" i="63"/>
  <c r="J123" i="63"/>
  <c r="H110" i="63"/>
  <c r="I120" i="63"/>
  <c r="N107" i="63"/>
  <c r="N110" i="63"/>
  <c r="N120" i="63"/>
  <c r="R113" i="63"/>
  <c r="R119" i="63"/>
  <c r="R120" i="63"/>
  <c r="S103" i="63"/>
  <c r="P53" i="25"/>
  <c r="X25" i="38"/>
  <c r="AC88" i="25"/>
  <c r="AB82" i="25"/>
  <c r="E94" i="25"/>
  <c r="AE82" i="25"/>
  <c r="AG82" i="25" s="1"/>
  <c r="J57" i="25"/>
  <c r="AC40" i="38"/>
  <c r="AC25" i="38"/>
  <c r="V43" i="38"/>
  <c r="AA43" i="38" s="1"/>
  <c r="AG52" i="42"/>
  <c r="AG22" i="42"/>
  <c r="AG42" i="42"/>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AB35" i="45"/>
  <c r="P58" i="25"/>
  <c r="AB90" i="25"/>
  <c r="E86" i="25"/>
  <c r="J59" i="25"/>
  <c r="AG54" i="42"/>
  <c r="AG57" i="42"/>
  <c r="AD66" i="42"/>
  <c r="AG58" i="42"/>
  <c r="AG31" i="42"/>
  <c r="AG47" i="42"/>
  <c r="AG27" i="42"/>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J103" i="63"/>
  <c r="J110" i="63"/>
  <c r="M110" i="63"/>
  <c r="AE70" i="25"/>
  <c r="AG70" i="25" s="1"/>
  <c r="AB96" i="25"/>
  <c r="P57" i="25"/>
  <c r="E85" i="25"/>
  <c r="V42" i="38"/>
  <c r="AG34" i="42"/>
  <c r="AG53" i="42"/>
  <c r="AG45" i="42"/>
  <c r="V27" i="38"/>
  <c r="AG43" i="42"/>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E91" i="25"/>
  <c r="P56" i="25"/>
  <c r="AE97" i="25"/>
  <c r="AG97" i="25" s="1"/>
  <c r="AB18" i="45"/>
  <c r="V41" i="38"/>
  <c r="AG19" i="42"/>
  <c r="AG33" i="42"/>
  <c r="AG50" i="42"/>
  <c r="AG32" i="42"/>
  <c r="AG29" i="42"/>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B23" i="45"/>
  <c r="P52" i="25"/>
  <c r="AE84" i="25"/>
  <c r="AG84" i="25" s="1"/>
  <c r="AB80" i="25"/>
  <c r="AG56" i="42"/>
  <c r="AG20" i="42"/>
  <c r="AG39" i="42"/>
  <c r="V28" i="38"/>
  <c r="T28" i="38" s="1"/>
  <c r="AG44" i="42"/>
  <c r="G119" i="63"/>
  <c r="G111" i="63"/>
  <c r="H107" i="63"/>
  <c r="I127" i="63"/>
  <c r="H119" i="63"/>
  <c r="K131" i="63"/>
  <c r="L120" i="63"/>
  <c r="AH9" i="38" l="1"/>
  <c r="AL65" i="38" s="1"/>
  <c r="Z11" i="38"/>
  <c r="Z12" i="38"/>
  <c r="Y12" i="38"/>
  <c r="D13" i="25"/>
  <c r="J43" i="25" s="1"/>
  <c r="AK74" i="43"/>
  <c r="AM74" i="43" s="1"/>
  <c r="AC86" i="43" s="1"/>
  <c r="AG86" i="43" s="1"/>
  <c r="AM86" i="43" s="1"/>
  <c r="AK76" i="43"/>
  <c r="AM76" i="43" s="1"/>
  <c r="AC88" i="43" s="1"/>
  <c r="AG88" i="43" s="1"/>
  <c r="AM88" i="43" s="1"/>
  <c r="AK80" i="43"/>
  <c r="AM80" i="43" s="1"/>
  <c r="AC92" i="43" s="1"/>
  <c r="AG92" i="43" s="1"/>
  <c r="AM92" i="43" s="1"/>
  <c r="AK75" i="43"/>
  <c r="AM75" i="43" s="1"/>
  <c r="AC87" i="43" s="1"/>
  <c r="AG87" i="43" s="1"/>
  <c r="AM87" i="43" s="1"/>
  <c r="AK78" i="43"/>
  <c r="AM78" i="43" s="1"/>
  <c r="AC90" i="43" s="1"/>
  <c r="AG90" i="43" s="1"/>
  <c r="AM90" i="43" s="1"/>
  <c r="AK77" i="43"/>
  <c r="AM77" i="43" s="1"/>
  <c r="AC89" i="43" s="1"/>
  <c r="AG89" i="43" s="1"/>
  <c r="AM89" i="43" s="1"/>
  <c r="AL74" i="43"/>
  <c r="AO74" i="43" s="1"/>
  <c r="AE86" i="43" s="1"/>
  <c r="AI86" i="43" s="1"/>
  <c r="AO86" i="43" s="1"/>
  <c r="Z10" i="38"/>
  <c r="U18" i="38"/>
  <c r="Z8" i="38"/>
  <c r="Z7" i="38"/>
  <c r="Z9" i="38"/>
  <c r="Z6" i="38"/>
  <c r="Y10" i="38"/>
  <c r="Y11" i="42"/>
  <c r="AD14" i="42" s="1"/>
  <c r="T27" i="38"/>
  <c r="T37" i="38"/>
  <c r="U33" i="38"/>
  <c r="AA41" i="38"/>
  <c r="AA21" i="38"/>
  <c r="U31" i="38"/>
  <c r="AA26" i="38"/>
  <c r="T16" i="38"/>
  <c r="Y45" i="38"/>
  <c r="Z45" i="38"/>
  <c r="Q57" i="42"/>
  <c r="Q60" i="42"/>
  <c r="S57" i="42"/>
  <c r="Q59" i="42"/>
  <c r="S56" i="42"/>
  <c r="S55" i="42"/>
  <c r="G92" i="63"/>
  <c r="AG98" i="25"/>
  <c r="AB43" i="38"/>
  <c r="AB44" i="38"/>
  <c r="AB34" i="38"/>
  <c r="AG75" i="42"/>
  <c r="AG79" i="42" s="1"/>
  <c r="AC54" i="38" s="1"/>
  <c r="AG74" i="42"/>
  <c r="AG78" i="42" s="1"/>
  <c r="AC53" i="38" s="1"/>
  <c r="AG73" i="42"/>
  <c r="AG72" i="42"/>
  <c r="U22" i="38"/>
  <c r="T24" i="38"/>
  <c r="AH68" i="42"/>
  <c r="AT71" i="42"/>
  <c r="T33" i="38"/>
  <c r="AA33" i="38"/>
  <c r="AK76" i="42"/>
  <c r="U21" i="38"/>
  <c r="U24" i="38"/>
  <c r="AA27" i="38"/>
  <c r="T21" i="38"/>
  <c r="U27" i="38"/>
  <c r="AL90" i="42"/>
  <c r="AM90" i="42" s="1"/>
  <c r="AJ84" i="42"/>
  <c r="AK84" i="42" s="1"/>
  <c r="AP84" i="42" s="1"/>
  <c r="AK75" i="42"/>
  <c r="AJ75" i="42"/>
  <c r="AH57" i="42"/>
  <c r="AH30" i="42"/>
  <c r="AK30" i="42" s="1"/>
  <c r="AH13" i="42"/>
  <c r="T34" i="38"/>
  <c r="U19" i="38"/>
  <c r="U44" i="38"/>
  <c r="T44" i="38"/>
  <c r="AA37" i="38"/>
  <c r="AH60" i="42"/>
  <c r="AJ60" i="42" s="1"/>
  <c r="AO53" i="42" s="1"/>
  <c r="U37" i="38"/>
  <c r="AH58" i="42"/>
  <c r="AJ58" i="42" s="1"/>
  <c r="AM53" i="42" s="1"/>
  <c r="AH23" i="42"/>
  <c r="AU17" i="42" s="1"/>
  <c r="AH24" i="42"/>
  <c r="AH21" i="42"/>
  <c r="AJ88" i="42"/>
  <c r="AK88" i="42" s="1"/>
  <c r="AP88" i="42" s="1"/>
  <c r="AH31" i="42"/>
  <c r="AJ85" i="42"/>
  <c r="AK85" i="42" s="1"/>
  <c r="AP85" i="42" s="1"/>
  <c r="AH32" i="42"/>
  <c r="AU26" i="42" s="1"/>
  <c r="AV71" i="42"/>
  <c r="T36" i="38"/>
  <c r="U32" i="38"/>
  <c r="AA36" i="38"/>
  <c r="T75" i="46"/>
  <c r="I119" i="46" s="1"/>
  <c r="AA34" i="38"/>
  <c r="AH50" i="42"/>
  <c r="T17" i="38"/>
  <c r="AJ87" i="42"/>
  <c r="AK87" i="42" s="1"/>
  <c r="AP87" i="42" s="1"/>
  <c r="AA32" i="38"/>
  <c r="T32" i="38"/>
  <c r="T18" i="38"/>
  <c r="AA31" i="38"/>
  <c r="AH67" i="42"/>
  <c r="AK78" i="42"/>
  <c r="AH69" i="42"/>
  <c r="AJ69" i="42" s="1"/>
  <c r="U38" i="38"/>
  <c r="AH51" i="42"/>
  <c r="AV44" i="42" s="1"/>
  <c r="AH39" i="42"/>
  <c r="U36" i="38"/>
  <c r="AA19" i="38"/>
  <c r="AA17" i="38"/>
  <c r="U17" i="38"/>
  <c r="AH48" i="42"/>
  <c r="T38" i="38"/>
  <c r="T22" i="38"/>
  <c r="AJ77" i="42"/>
  <c r="AJ86" i="42"/>
  <c r="AK86" i="42" s="1"/>
  <c r="AP86" i="42" s="1"/>
  <c r="AH40" i="42"/>
  <c r="AA22" i="38"/>
  <c r="AH41" i="42"/>
  <c r="AK77" i="42"/>
  <c r="AH14" i="42"/>
  <c r="T23" i="38"/>
  <c r="AS71" i="42"/>
  <c r="AH15" i="42"/>
  <c r="AH12" i="42"/>
  <c r="AU71" i="42"/>
  <c r="U23" i="38"/>
  <c r="AA29" i="38"/>
  <c r="U29" i="38"/>
  <c r="AA18" i="38"/>
  <c r="U16" i="38"/>
  <c r="AJ89" i="42"/>
  <c r="AK89" i="42" s="1"/>
  <c r="AP89" i="42" s="1"/>
  <c r="AA39" i="38"/>
  <c r="T31" i="38"/>
  <c r="AA16" i="38"/>
  <c r="T39" i="38"/>
  <c r="AM71" i="42"/>
  <c r="T26" i="38"/>
  <c r="U26" i="38"/>
  <c r="T72" i="46"/>
  <c r="H119" i="46" s="1"/>
  <c r="T74" i="46"/>
  <c r="T73" i="46"/>
  <c r="R92" i="63"/>
  <c r="U42" i="38"/>
  <c r="T41" i="38"/>
  <c r="AA42" i="38"/>
  <c r="U41" i="38"/>
  <c r="Q92" i="63"/>
  <c r="P92" i="63"/>
  <c r="K92" i="63"/>
  <c r="H92" i="63"/>
  <c r="T42" i="38"/>
  <c r="I92" i="63"/>
  <c r="M92" i="63"/>
  <c r="O92" i="63"/>
  <c r="N92" i="63"/>
  <c r="S92" i="63"/>
  <c r="L92" i="63"/>
  <c r="J92" i="63"/>
  <c r="U28" i="38"/>
  <c r="T43" i="38"/>
  <c r="AA28" i="38"/>
  <c r="U43" i="38"/>
  <c r="AO71" i="42"/>
  <c r="AJ33" i="42"/>
  <c r="AO26" i="42" s="1"/>
  <c r="AJ66" i="42"/>
  <c r="AJ22" i="42"/>
  <c r="AJ49" i="42"/>
  <c r="AM44" i="42" s="1"/>
  <c r="AJ59" i="42"/>
  <c r="AN53" i="42" s="1"/>
  <c r="AJ42" i="42"/>
  <c r="AO35" i="42" s="1"/>
  <c r="AK33" i="42"/>
  <c r="AV26" i="42"/>
  <c r="AK59" i="42"/>
  <c r="AU53" i="42"/>
  <c r="AK83" i="42"/>
  <c r="AP83" i="42" s="1"/>
  <c r="AK42" i="42"/>
  <c r="AV35" i="42"/>
  <c r="AK22" i="42"/>
  <c r="AT44" i="42"/>
  <c r="AT17" i="42"/>
  <c r="AK49" i="42"/>
  <c r="AK66" i="42"/>
  <c r="AS62" i="42"/>
  <c r="AE81" i="43" l="1"/>
  <c r="AC81" i="43"/>
  <c r="AC27" i="43"/>
  <c r="AK81" i="43"/>
  <c r="AM81" i="43" s="1"/>
  <c r="AC93" i="43" s="1"/>
  <c r="AG93" i="43" s="1"/>
  <c r="AK79" i="43"/>
  <c r="AM79" i="43" s="1"/>
  <c r="AC91" i="43" s="1"/>
  <c r="AG91" i="43" s="1"/>
  <c r="AM91" i="43" s="1"/>
  <c r="AL81" i="43"/>
  <c r="AO81" i="43" s="1"/>
  <c r="AE93" i="43" s="1"/>
  <c r="AI93" i="43" s="1"/>
  <c r="AO93" i="43" s="1"/>
  <c r="AL79" i="43"/>
  <c r="AO79" i="43" s="1"/>
  <c r="AE91" i="43" s="1"/>
  <c r="AI91" i="43" s="1"/>
  <c r="AL75" i="43"/>
  <c r="AO75" i="43" s="1"/>
  <c r="AE87" i="43" s="1"/>
  <c r="AI87" i="43" s="1"/>
  <c r="AO87" i="43" s="1"/>
  <c r="AL78" i="43"/>
  <c r="AO78" i="43" s="1"/>
  <c r="AE90" i="43" s="1"/>
  <c r="AI90" i="43" s="1"/>
  <c r="AO90" i="43" s="1"/>
  <c r="AL76" i="43"/>
  <c r="AO76" i="43" s="1"/>
  <c r="AE88" i="43" s="1"/>
  <c r="AI88" i="43" s="1"/>
  <c r="AL77" i="43"/>
  <c r="AO77" i="43" s="1"/>
  <c r="AE89" i="43" s="1"/>
  <c r="AI89" i="43" s="1"/>
  <c r="AL80" i="43"/>
  <c r="AO80" i="43" s="1"/>
  <c r="AE92" i="43" s="1"/>
  <c r="AI92" i="43" s="1"/>
  <c r="AL92" i="43" s="1"/>
  <c r="AC78" i="43"/>
  <c r="AC79" i="43"/>
  <c r="I46" i="42"/>
  <c r="G49" i="42"/>
  <c r="G47" i="42"/>
  <c r="G39" i="42"/>
  <c r="G38" i="42"/>
  <c r="I36" i="42"/>
  <c r="S46" i="42"/>
  <c r="Q50" i="42"/>
  <c r="S47" i="42"/>
  <c r="Q27" i="42"/>
  <c r="S25" i="42"/>
  <c r="Q30" i="42"/>
  <c r="Q46" i="42"/>
  <c r="S48" i="42"/>
  <c r="S49" i="42"/>
  <c r="S38" i="42"/>
  <c r="S36" i="42"/>
  <c r="Q40" i="42"/>
  <c r="S45" i="42"/>
  <c r="Q49" i="42"/>
  <c r="Q47" i="42"/>
  <c r="AE15" i="43"/>
  <c r="O15" i="43" s="1"/>
  <c r="AG77" i="42"/>
  <c r="AC52" i="38" s="1"/>
  <c r="AG76" i="42"/>
  <c r="AC51" i="38" s="1"/>
  <c r="Z25" i="38"/>
  <c r="Q58" i="42"/>
  <c r="S60" i="42"/>
  <c r="S58" i="42"/>
  <c r="S59" i="42"/>
  <c r="Q56" i="42"/>
  <c r="Q55" i="42"/>
  <c r="G58" i="42"/>
  <c r="I60" i="42"/>
  <c r="G57" i="42"/>
  <c r="G60" i="42"/>
  <c r="AB48" i="38"/>
  <c r="AF72" i="42"/>
  <c r="I55" i="42"/>
  <c r="G56" i="42"/>
  <c r="AB49" i="38"/>
  <c r="AD72" i="42"/>
  <c r="AD74" i="42"/>
  <c r="AD78" i="42" s="1"/>
  <c r="AC72" i="42"/>
  <c r="AC73" i="42"/>
  <c r="AB75" i="42"/>
  <c r="AB79" i="42" s="1"/>
  <c r="AC29" i="38" s="1"/>
  <c r="AA74" i="42"/>
  <c r="AA78" i="42" s="1"/>
  <c r="AC23" i="38" s="1"/>
  <c r="Z72" i="42"/>
  <c r="Z74" i="42"/>
  <c r="Z75" i="42"/>
  <c r="Z79" i="42" s="1"/>
  <c r="AC19" i="38" s="1"/>
  <c r="Z73" i="42"/>
  <c r="AB54" i="38"/>
  <c r="K53" i="38" s="1"/>
  <c r="AB41" i="38"/>
  <c r="AB31" i="38"/>
  <c r="AB42" i="38"/>
  <c r="AB38" i="38"/>
  <c r="AB28" i="38"/>
  <c r="AB29" i="38"/>
  <c r="AB19" i="38"/>
  <c r="Z15" i="38"/>
  <c r="T21" i="45"/>
  <c r="O81" i="45" s="1"/>
  <c r="AB32" i="38"/>
  <c r="AB33" i="38"/>
  <c r="AT53" i="42"/>
  <c r="AK32" i="42"/>
  <c r="AB23" i="38"/>
  <c r="AB24" i="38"/>
  <c r="AB39" i="38"/>
  <c r="AG16" i="38"/>
  <c r="AB53" i="38"/>
  <c r="K51" i="38" s="1"/>
  <c r="AK69" i="42"/>
  <c r="AU44" i="42"/>
  <c r="AS26" i="42"/>
  <c r="AK51" i="42"/>
  <c r="AK50" i="42"/>
  <c r="AJ68" i="42"/>
  <c r="AF75" i="42"/>
  <c r="AF79" i="42" s="1"/>
  <c r="AC49" i="38" s="1"/>
  <c r="AV62" i="42"/>
  <c r="AF74" i="42"/>
  <c r="AF78" i="42" s="1"/>
  <c r="AC48" i="38" s="1"/>
  <c r="AT62" i="42"/>
  <c r="AF73" i="42"/>
  <c r="AJ50" i="42"/>
  <c r="AN44" i="42" s="1"/>
  <c r="AK58" i="42"/>
  <c r="AE75" i="42"/>
  <c r="AE79" i="42" s="1"/>
  <c r="AC44" i="38" s="1"/>
  <c r="K43" i="38" s="1"/>
  <c r="AE74" i="42"/>
  <c r="AE78" i="42" s="1"/>
  <c r="AC43" i="38" s="1"/>
  <c r="K41" i="38" s="1"/>
  <c r="AE73" i="42"/>
  <c r="AK57" i="42"/>
  <c r="AE72" i="42"/>
  <c r="AJ51" i="42"/>
  <c r="AO44" i="42" s="1"/>
  <c r="AD75" i="42"/>
  <c r="AD79" i="42" s="1"/>
  <c r="AC39" i="38" s="1"/>
  <c r="AS44" i="42"/>
  <c r="AD73" i="42"/>
  <c r="AJ40" i="42"/>
  <c r="AM35" i="42" s="1"/>
  <c r="AC75" i="42"/>
  <c r="AC79" i="42" s="1"/>
  <c r="AC34" i="38" s="1"/>
  <c r="K33" i="38" s="1"/>
  <c r="AJ41" i="42"/>
  <c r="AN35" i="42" s="1"/>
  <c r="AC74" i="42"/>
  <c r="AK68" i="42"/>
  <c r="AU62" i="42"/>
  <c r="AS35" i="42"/>
  <c r="AK40" i="42"/>
  <c r="AJ32" i="42"/>
  <c r="AN26" i="42" s="1"/>
  <c r="AB74" i="42"/>
  <c r="AB78" i="42" s="1"/>
  <c r="AC28" i="38" s="1"/>
  <c r="AK31" i="42"/>
  <c r="AB73" i="42"/>
  <c r="AJ30" i="42"/>
  <c r="AL26" i="42" s="1"/>
  <c r="AB72" i="42"/>
  <c r="AQ90" i="42"/>
  <c r="AK23" i="42"/>
  <c r="AA75" i="42"/>
  <c r="AA79" i="42" s="1"/>
  <c r="AC24" i="38" s="1"/>
  <c r="AJ24" i="42"/>
  <c r="AA73" i="42"/>
  <c r="AJ21" i="42"/>
  <c r="AA72" i="42"/>
  <c r="AT26" i="42"/>
  <c r="AT8" i="42"/>
  <c r="AV8" i="42"/>
  <c r="AJ14" i="42"/>
  <c r="AE18" i="38" s="1"/>
  <c r="AK15" i="42"/>
  <c r="AJ23" i="42"/>
  <c r="AE23" i="38" s="1"/>
  <c r="AJ12" i="42"/>
  <c r="AL71" i="42"/>
  <c r="AV53" i="42"/>
  <c r="AK60" i="42"/>
  <c r="AS53" i="42"/>
  <c r="AJ31" i="42"/>
  <c r="AM26" i="42" s="1"/>
  <c r="AK14" i="42"/>
  <c r="AJ57" i="42"/>
  <c r="AL53" i="42" s="1"/>
  <c r="AT35" i="42"/>
  <c r="AK24" i="42"/>
  <c r="AV17" i="42"/>
  <c r="AU8" i="42"/>
  <c r="AK67" i="42"/>
  <c r="AK48" i="42"/>
  <c r="AJ67" i="42"/>
  <c r="G59" i="42" s="1"/>
  <c r="AJ48" i="42"/>
  <c r="AL44" i="42" s="1"/>
  <c r="AK13" i="42"/>
  <c r="AJ13" i="42"/>
  <c r="AG36" i="38"/>
  <c r="AS17" i="42"/>
  <c r="AK21" i="42"/>
  <c r="AK39" i="42"/>
  <c r="AF17" i="38"/>
  <c r="AN71" i="42"/>
  <c r="AH43" i="38"/>
  <c r="AG46" i="38"/>
  <c r="AH37" i="38"/>
  <c r="AJ39" i="42"/>
  <c r="AL35" i="42" s="1"/>
  <c r="AH22" i="38"/>
  <c r="AG41" i="38"/>
  <c r="AH21" i="38"/>
  <c r="AG22" i="38"/>
  <c r="AF18" i="38"/>
  <c r="Y15" i="38"/>
  <c r="Y35" i="38"/>
  <c r="AG18" i="38"/>
  <c r="AH16" i="38"/>
  <c r="AF46" i="38"/>
  <c r="AE44" i="38"/>
  <c r="AH46" i="38"/>
  <c r="AH42" i="38"/>
  <c r="AE42" i="38"/>
  <c r="AG39" i="38"/>
  <c r="AF27" i="38"/>
  <c r="AG24" i="38"/>
  <c r="AH41" i="38"/>
  <c r="AF16" i="38"/>
  <c r="AH18" i="38"/>
  <c r="AG27" i="38"/>
  <c r="AF42" i="38"/>
  <c r="AH36" i="38"/>
  <c r="AH34" i="38"/>
  <c r="AG44" i="38"/>
  <c r="AJ15" i="42"/>
  <c r="AS8" i="42"/>
  <c r="AK12" i="42"/>
  <c r="AU35" i="42"/>
  <c r="AK41" i="42"/>
  <c r="AH47" i="38"/>
  <c r="AG48" i="38"/>
  <c r="Y25" i="38"/>
  <c r="Z35" i="38"/>
  <c r="J119" i="46"/>
  <c r="AF54" i="38"/>
  <c r="AG49" i="38"/>
  <c r="T69" i="46"/>
  <c r="AF49" i="38"/>
  <c r="AF48" i="38"/>
  <c r="AF34" i="38"/>
  <c r="AG34" i="38"/>
  <c r="AG28" i="38"/>
  <c r="AG37" i="38"/>
  <c r="AF31" i="38"/>
  <c r="AH54" i="38"/>
  <c r="AE34" i="38"/>
  <c r="AH19" i="38"/>
  <c r="AE29" i="38"/>
  <c r="AG19" i="38"/>
  <c r="AH49" i="38"/>
  <c r="AH28" i="38"/>
  <c r="AG21" i="38"/>
  <c r="AH31" i="38"/>
  <c r="AH33" i="38"/>
  <c r="AG54" i="38"/>
  <c r="AH23" i="38"/>
  <c r="AE43" i="38"/>
  <c r="AH29" i="38"/>
  <c r="AF21" i="38"/>
  <c r="AG33" i="38"/>
  <c r="AG26" i="38"/>
  <c r="AF28" i="38"/>
  <c r="AF38" i="38"/>
  <c r="AF22" i="38"/>
  <c r="AF41" i="38"/>
  <c r="AF32" i="38"/>
  <c r="AH27" i="38"/>
  <c r="AF24" i="38"/>
  <c r="AF37" i="38"/>
  <c r="AF44" i="38"/>
  <c r="AH32" i="38"/>
  <c r="AF43" i="38"/>
  <c r="AH44" i="38"/>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D16" i="42"/>
  <c r="O88" i="45" s="1"/>
  <c r="AI55" i="45" s="1"/>
  <c r="AG51" i="38"/>
  <c r="AF53" i="38"/>
  <c r="AG52" i="38"/>
  <c r="AF52" i="38"/>
  <c r="AH53" i="38"/>
  <c r="AG53" i="38"/>
  <c r="AH51" i="38"/>
  <c r="AL62" i="42"/>
  <c r="AM17" i="42"/>
  <c r="AO62" i="42"/>
  <c r="AE51" i="38"/>
  <c r="AE53" i="38"/>
  <c r="AE49" i="38"/>
  <c r="AL88" i="42"/>
  <c r="AQ88" i="42" s="1"/>
  <c r="AL87" i="42"/>
  <c r="AQ87" i="42" s="1"/>
  <c r="AL85" i="42"/>
  <c r="AL83" i="42"/>
  <c r="AL86" i="42"/>
  <c r="AL89" i="42"/>
  <c r="AU89" i="42"/>
  <c r="AI66" i="42" s="1"/>
  <c r="AZ66" i="42" s="1"/>
  <c r="AL84" i="42"/>
  <c r="AN90" i="42"/>
  <c r="AS90" i="42" s="1"/>
  <c r="AR90" i="42"/>
  <c r="D51" i="38" l="1"/>
  <c r="D53" i="38"/>
  <c r="AE32" i="38"/>
  <c r="D23" i="38"/>
  <c r="AE31" i="38"/>
  <c r="K21" i="38"/>
  <c r="AE33" i="38"/>
  <c r="D33" i="38"/>
  <c r="D31" i="38"/>
  <c r="D43" i="38"/>
  <c r="K23" i="38"/>
  <c r="AE41" i="38"/>
  <c r="AO92" i="43"/>
  <c r="AE27" i="43" s="1"/>
  <c r="AM93" i="43"/>
  <c r="AC29" i="43" s="1"/>
  <c r="G29" i="43" s="1"/>
  <c r="AI80" i="43"/>
  <c r="AE80" i="43"/>
  <c r="AI81" i="43"/>
  <c r="AG80" i="43"/>
  <c r="AG81" i="43"/>
  <c r="AC80" i="43"/>
  <c r="AE143" i="43"/>
  <c r="AE141" i="43"/>
  <c r="AE144" i="43"/>
  <c r="AE145" i="43"/>
  <c r="AE140" i="43"/>
  <c r="AE142" i="43"/>
  <c r="AO88" i="43"/>
  <c r="AE19" i="43" s="1"/>
  <c r="O19" i="43" s="1"/>
  <c r="AL88" i="43"/>
  <c r="AO91" i="43"/>
  <c r="AE25" i="43" s="1"/>
  <c r="O25" i="43" s="1"/>
  <c r="AL91" i="43"/>
  <c r="AE29" i="43"/>
  <c r="AO89" i="43"/>
  <c r="AE21" i="43" s="1"/>
  <c r="O21" i="43" s="1"/>
  <c r="AL89" i="43"/>
  <c r="AC74" i="43"/>
  <c r="AG76" i="43"/>
  <c r="AE78" i="43"/>
  <c r="AI78" i="43"/>
  <c r="AI75" i="43"/>
  <c r="AG79" i="43"/>
  <c r="AC77" i="43"/>
  <c r="AI76" i="43"/>
  <c r="AC76" i="43"/>
  <c r="AI77" i="43"/>
  <c r="AI79" i="43"/>
  <c r="AI74" i="43"/>
  <c r="AE74" i="43"/>
  <c r="AG75" i="43"/>
  <c r="AC75" i="43"/>
  <c r="AE75" i="43"/>
  <c r="AG77" i="43"/>
  <c r="AE79" i="43"/>
  <c r="AE77" i="43"/>
  <c r="AG74" i="43"/>
  <c r="AG78" i="43"/>
  <c r="AE76" i="43"/>
  <c r="Z78" i="42"/>
  <c r="AC18" i="38" s="1"/>
  <c r="X57" i="38"/>
  <c r="Z60" i="38" s="1"/>
  <c r="AA59" i="38" s="1"/>
  <c r="I27" i="42"/>
  <c r="I30" i="42"/>
  <c r="G26" i="42"/>
  <c r="G35" i="42"/>
  <c r="G37" i="42"/>
  <c r="I39" i="42"/>
  <c r="G30" i="42"/>
  <c r="I25" i="42"/>
  <c r="G28" i="42"/>
  <c r="I50" i="42"/>
  <c r="G46" i="42"/>
  <c r="G48" i="42"/>
  <c r="G27" i="42"/>
  <c r="I29" i="42"/>
  <c r="G25" i="42"/>
  <c r="G50" i="42"/>
  <c r="I45" i="42"/>
  <c r="I47" i="42"/>
  <c r="I49" i="42"/>
  <c r="G45" i="42"/>
  <c r="I48" i="42"/>
  <c r="I26" i="42"/>
  <c r="I28" i="42"/>
  <c r="G29" i="42"/>
  <c r="I38" i="42"/>
  <c r="G40" i="42"/>
  <c r="I35" i="42"/>
  <c r="I37" i="42"/>
  <c r="G36" i="42"/>
  <c r="I40" i="42"/>
  <c r="S27" i="42"/>
  <c r="S26" i="42"/>
  <c r="Q29" i="42"/>
  <c r="S50" i="42"/>
  <c r="Q45" i="42"/>
  <c r="Q48" i="42"/>
  <c r="Q35" i="42"/>
  <c r="Q37" i="42"/>
  <c r="S40" i="42"/>
  <c r="S37" i="42"/>
  <c r="S39" i="42"/>
  <c r="Q36" i="42"/>
  <c r="S30" i="42"/>
  <c r="Q26" i="42"/>
  <c r="S28" i="42"/>
  <c r="S29" i="42"/>
  <c r="Q25" i="42"/>
  <c r="Q28" i="42"/>
  <c r="Q39" i="42"/>
  <c r="Q38" i="42"/>
  <c r="S35" i="42"/>
  <c r="AN17" i="42"/>
  <c r="AC21" i="43"/>
  <c r="G21" i="43" s="1"/>
  <c r="AC19" i="43"/>
  <c r="G19" i="43" s="1"/>
  <c r="AE23" i="43"/>
  <c r="O23" i="43" s="1"/>
  <c r="AE17" i="43"/>
  <c r="O17" i="43" s="1"/>
  <c r="AC17" i="43"/>
  <c r="G17" i="43" s="1"/>
  <c r="G27" i="43"/>
  <c r="AC25" i="43"/>
  <c r="G25" i="43" s="1"/>
  <c r="AC23" i="43"/>
  <c r="G23" i="43" s="1"/>
  <c r="AF77" i="42"/>
  <c r="AC47" i="38" s="1"/>
  <c r="AF76" i="42"/>
  <c r="AC46" i="38" s="1"/>
  <c r="AD76" i="42"/>
  <c r="AC36" i="38" s="1"/>
  <c r="Z76" i="42"/>
  <c r="AC16" i="38" s="1"/>
  <c r="AB52" i="38"/>
  <c r="K49" i="38" s="1"/>
  <c r="AB46" i="38"/>
  <c r="AC38" i="38"/>
  <c r="D41" i="38" s="1"/>
  <c r="AB47" i="38"/>
  <c r="AB51" i="38"/>
  <c r="K47" i="38" s="1"/>
  <c r="I58" i="42"/>
  <c r="I59" i="42"/>
  <c r="I56" i="42"/>
  <c r="I57" i="42"/>
  <c r="G55" i="42"/>
  <c r="AC76" i="42"/>
  <c r="AC31" i="38" s="1"/>
  <c r="K27" i="38" s="1"/>
  <c r="AC77" i="42"/>
  <c r="AC32" i="38" s="1"/>
  <c r="K29" i="38" s="1"/>
  <c r="Z77" i="42"/>
  <c r="AC17" i="38" s="1"/>
  <c r="AN8" i="42"/>
  <c r="AB22" i="38"/>
  <c r="AV90" i="42"/>
  <c r="AI76" i="42" s="1"/>
  <c r="AZ76" i="42" s="1"/>
  <c r="AU90" i="42"/>
  <c r="AI75" i="42" s="1"/>
  <c r="AZ75" i="42" s="1"/>
  <c r="AB27" i="38"/>
  <c r="AB26" i="38"/>
  <c r="AB16" i="38"/>
  <c r="T71" i="46"/>
  <c r="O53" i="46"/>
  <c r="AE28" i="38"/>
  <c r="AE26" i="38"/>
  <c r="AE27" i="38"/>
  <c r="M83" i="45"/>
  <c r="T110" i="46" s="1"/>
  <c r="T83" i="45"/>
  <c r="T84" i="45" s="1"/>
  <c r="O94" i="45" s="1"/>
  <c r="M81" i="45"/>
  <c r="T108" i="46" s="1"/>
  <c r="AB36" i="38"/>
  <c r="AC78" i="42"/>
  <c r="AC33" i="38" s="1"/>
  <c r="K31" i="38" s="1"/>
  <c r="AB37" i="38"/>
  <c r="AB21" i="38"/>
  <c r="AB18" i="38"/>
  <c r="AB17" i="38"/>
  <c r="AE24" i="38"/>
  <c r="AE36" i="38"/>
  <c r="AE37" i="38"/>
  <c r="AN62" i="42"/>
  <c r="AE21" i="38"/>
  <c r="AE77" i="42"/>
  <c r="AE76" i="42"/>
  <c r="AD77" i="42"/>
  <c r="AB77" i="42"/>
  <c r="AB76" i="42"/>
  <c r="AA76" i="42"/>
  <c r="AA77" i="42"/>
  <c r="AE38" i="38"/>
  <c r="AW90" i="42"/>
  <c r="AI77" i="42" s="1"/>
  <c r="AZ77" i="42" s="1"/>
  <c r="AL17" i="42"/>
  <c r="AE39" i="38"/>
  <c r="AO17" i="42"/>
  <c r="AE54" i="38"/>
  <c r="AL8" i="42"/>
  <c r="AM8" i="42"/>
  <c r="AE16" i="38"/>
  <c r="AE22" i="38"/>
  <c r="AM62" i="42"/>
  <c r="AE46" i="38"/>
  <c r="AO8" i="42"/>
  <c r="AE47" i="38"/>
  <c r="T83" i="46"/>
  <c r="T59" i="38"/>
  <c r="T85" i="46"/>
  <c r="T70" i="46"/>
  <c r="T84" i="46"/>
  <c r="T82" i="46"/>
  <c r="AE48" i="38"/>
  <c r="AE17" i="38"/>
  <c r="AE52" i="38"/>
  <c r="AE19" i="38"/>
  <c r="AM88" i="42"/>
  <c r="AN88" i="42" s="1"/>
  <c r="AS88" i="42" s="1"/>
  <c r="AM87" i="42"/>
  <c r="AN87" i="42" s="1"/>
  <c r="AS87" i="42" s="1"/>
  <c r="AQ83" i="42"/>
  <c r="AM83" i="42"/>
  <c r="AQ85" i="42"/>
  <c r="AM85" i="42"/>
  <c r="AQ86" i="42"/>
  <c r="AM86" i="42"/>
  <c r="AQ84" i="42"/>
  <c r="AM84" i="42"/>
  <c r="AX90" i="42"/>
  <c r="AI78" i="42" s="1"/>
  <c r="AZ78" i="42" s="1"/>
  <c r="AQ89" i="42"/>
  <c r="AM89" i="42"/>
  <c r="D49" i="38" l="1"/>
  <c r="D47" i="38"/>
  <c r="D17" i="38"/>
  <c r="D19" i="38"/>
  <c r="D21" i="38"/>
  <c r="D37" i="38"/>
  <c r="AZ27" i="43"/>
  <c r="AY27" i="43" s="1"/>
  <c r="AZ11" i="43"/>
  <c r="AY11" i="43" s="1"/>
  <c r="AZ26" i="43"/>
  <c r="AY26" i="43" s="1"/>
  <c r="AZ25" i="43"/>
  <c r="AY25" i="43" s="1"/>
  <c r="AZ20" i="43"/>
  <c r="AY20" i="43" s="1"/>
  <c r="AZ19" i="43"/>
  <c r="AY19" i="43" s="1"/>
  <c r="AZ18" i="43"/>
  <c r="AY18" i="43" s="1"/>
  <c r="AZ17" i="43"/>
  <c r="AY17" i="43" s="1"/>
  <c r="AZ16" i="43"/>
  <c r="AY16" i="43" s="1"/>
  <c r="AZ15" i="43"/>
  <c r="AY15" i="43" s="1"/>
  <c r="AZ14" i="43"/>
  <c r="AY14" i="43" s="1"/>
  <c r="AZ13" i="43"/>
  <c r="AY13" i="43" s="1"/>
  <c r="AZ12" i="43"/>
  <c r="AY12" i="43" s="1"/>
  <c r="AZ24" i="43"/>
  <c r="AY24" i="43" s="1"/>
  <c r="AZ23" i="43"/>
  <c r="AY23" i="43" s="1"/>
  <c r="AZ22" i="43"/>
  <c r="AY22" i="43" s="1"/>
  <c r="AZ21" i="43"/>
  <c r="AY21" i="43" s="1"/>
  <c r="O29" i="43"/>
  <c r="O27" i="43"/>
  <c r="AV27" i="43"/>
  <c r="AU27" i="43" s="1"/>
  <c r="AV26" i="43"/>
  <c r="AU26" i="43" s="1"/>
  <c r="AV25" i="43"/>
  <c r="AU25" i="43" s="1"/>
  <c r="AV24" i="43"/>
  <c r="AU24" i="43" s="1"/>
  <c r="AV23" i="43"/>
  <c r="AU23" i="43" s="1"/>
  <c r="AV22" i="43"/>
  <c r="AU22" i="43" s="1"/>
  <c r="AV21" i="43"/>
  <c r="AU21" i="43" s="1"/>
  <c r="AV20" i="43"/>
  <c r="AU20" i="43" s="1"/>
  <c r="AV19" i="43"/>
  <c r="AU19" i="43" s="1"/>
  <c r="AV18" i="43"/>
  <c r="AU18" i="43" s="1"/>
  <c r="AV17" i="43"/>
  <c r="AU17" i="43" s="1"/>
  <c r="AV16" i="43"/>
  <c r="AU16" i="43" s="1"/>
  <c r="AV15" i="43"/>
  <c r="AU15" i="43" s="1"/>
  <c r="AV14" i="43"/>
  <c r="AU14" i="43" s="1"/>
  <c r="AV13" i="43"/>
  <c r="AU13" i="43" s="1"/>
  <c r="AV12" i="43"/>
  <c r="AU12" i="43" s="1"/>
  <c r="AV11" i="43"/>
  <c r="AU11" i="43" s="1"/>
  <c r="AX27" i="43"/>
  <c r="AW27" i="43" s="1"/>
  <c r="AX26" i="43"/>
  <c r="AW26" i="43" s="1"/>
  <c r="AX25" i="43"/>
  <c r="AW25" i="43" s="1"/>
  <c r="AX24" i="43"/>
  <c r="AW24" i="43" s="1"/>
  <c r="AX23" i="43"/>
  <c r="AW23" i="43" s="1"/>
  <c r="AX22" i="43"/>
  <c r="AW22" i="43" s="1"/>
  <c r="AX21" i="43"/>
  <c r="AW21" i="43" s="1"/>
  <c r="AX20" i="43"/>
  <c r="AW20" i="43" s="1"/>
  <c r="AX19" i="43"/>
  <c r="AW19" i="43" s="1"/>
  <c r="AX18" i="43"/>
  <c r="AW18" i="43" s="1"/>
  <c r="AX17" i="43"/>
  <c r="AW17" i="43" s="1"/>
  <c r="AX16" i="43"/>
  <c r="AW16" i="43" s="1"/>
  <c r="AX15" i="43"/>
  <c r="AW15" i="43" s="1"/>
  <c r="AX14" i="43"/>
  <c r="AW14" i="43" s="1"/>
  <c r="AX13" i="43"/>
  <c r="AW13" i="43" s="1"/>
  <c r="AX12" i="43"/>
  <c r="AW12" i="43" s="1"/>
  <c r="AX11" i="43"/>
  <c r="AW11" i="43" s="1"/>
  <c r="AT25" i="43"/>
  <c r="AS25" i="43" s="1"/>
  <c r="AT18" i="43"/>
  <c r="AS18" i="43" s="1"/>
  <c r="AT13" i="43"/>
  <c r="AS13" i="43" s="1"/>
  <c r="AT23" i="43"/>
  <c r="AS23" i="43" s="1"/>
  <c r="AT19" i="43"/>
  <c r="AS19" i="43" s="1"/>
  <c r="AT12" i="43"/>
  <c r="AS12" i="43" s="1"/>
  <c r="AT24" i="43"/>
  <c r="AS24" i="43" s="1"/>
  <c r="AT21" i="43"/>
  <c r="AS21" i="43" s="1"/>
  <c r="AT17" i="43"/>
  <c r="AS17" i="43" s="1"/>
  <c r="AT11" i="43"/>
  <c r="AS11" i="43" s="1"/>
  <c r="AT22" i="43"/>
  <c r="AS22" i="43" s="1"/>
  <c r="AT16" i="43"/>
  <c r="AS16" i="43" s="1"/>
  <c r="AT26" i="43"/>
  <c r="AS26" i="43" s="1"/>
  <c r="AT15" i="43"/>
  <c r="AS15" i="43" s="1"/>
  <c r="AT27" i="43"/>
  <c r="AS27" i="43" s="1"/>
  <c r="AT20" i="43"/>
  <c r="AS20" i="43" s="1"/>
  <c r="AT14" i="43"/>
  <c r="AS14" i="43" s="1"/>
  <c r="AF152" i="43"/>
  <c r="T76" i="46"/>
  <c r="Z70" i="46" s="1"/>
  <c r="M82" i="45"/>
  <c r="T109" i="46" s="1"/>
  <c r="T105" i="46"/>
  <c r="X108" i="46" s="1"/>
  <c r="O59" i="46"/>
  <c r="O89" i="45"/>
  <c r="BA78" i="42"/>
  <c r="AC37" i="38"/>
  <c r="D39" i="38" s="1"/>
  <c r="AC41" i="38"/>
  <c r="K37" i="38" s="1"/>
  <c r="AC42" i="38"/>
  <c r="K39" i="38" s="1"/>
  <c r="AC26" i="38"/>
  <c r="D27" i="38" s="1"/>
  <c r="AC27" i="38"/>
  <c r="D29" i="38" s="1"/>
  <c r="AC22" i="38"/>
  <c r="K19" i="38" s="1"/>
  <c r="AC21" i="38"/>
  <c r="K17" i="38" s="1"/>
  <c r="O54" i="46"/>
  <c r="T79" i="46"/>
  <c r="AR88" i="42"/>
  <c r="AR87" i="42"/>
  <c r="AW87" i="42" s="1"/>
  <c r="AI50" i="42" s="1"/>
  <c r="AZ50" i="42" s="1"/>
  <c r="BA77" i="42"/>
  <c r="AR85" i="42"/>
  <c r="AN85" i="42"/>
  <c r="AS85" i="42" s="1"/>
  <c r="AR83" i="42"/>
  <c r="AU83" i="42" s="1"/>
  <c r="AI12" i="42" s="1"/>
  <c r="AZ12" i="42" s="1"/>
  <c r="AN83" i="42"/>
  <c r="AS83" i="42" s="1"/>
  <c r="BA75" i="42"/>
  <c r="BA76" i="42"/>
  <c r="AR84" i="42"/>
  <c r="AV84" i="42" s="1"/>
  <c r="AI22" i="42" s="1"/>
  <c r="AZ22" i="42" s="1"/>
  <c r="AN84" i="42"/>
  <c r="AS84" i="42" s="1"/>
  <c r="AR86" i="42"/>
  <c r="AN86" i="42"/>
  <c r="AS86" i="42" s="1"/>
  <c r="AR89" i="42"/>
  <c r="AN89" i="42"/>
  <c r="AS89" i="42" s="1"/>
  <c r="AU84" i="42" l="1"/>
  <c r="AI21" i="42" s="1"/>
  <c r="AZ21" i="42" s="1"/>
  <c r="AU85" i="42"/>
  <c r="AI30" i="42" s="1"/>
  <c r="AZ30" i="42" s="1"/>
  <c r="AV83" i="42"/>
  <c r="AI13" i="42" s="1"/>
  <c r="AZ13" i="42" s="1"/>
  <c r="AI46" i="38"/>
  <c r="Z71" i="46"/>
  <c r="AV89" i="42"/>
  <c r="AI67" i="42" s="1"/>
  <c r="AZ67" i="42" s="1"/>
  <c r="AV86" i="42"/>
  <c r="AI40" i="42" s="1"/>
  <c r="AZ40" i="42" s="1"/>
  <c r="AI32" i="38" s="1"/>
  <c r="AC15" i="43"/>
  <c r="G15" i="43" s="1"/>
  <c r="AU87" i="42"/>
  <c r="AI48" i="42" s="1"/>
  <c r="AZ48" i="42" s="1"/>
  <c r="AX87" i="42"/>
  <c r="AI51" i="42" s="1"/>
  <c r="AZ51" i="42" s="1"/>
  <c r="AV88" i="42"/>
  <c r="AI58" i="42" s="1"/>
  <c r="AZ58" i="42" s="1"/>
  <c r="AW88" i="42"/>
  <c r="AI59" i="42" s="1"/>
  <c r="AZ59" i="42" s="1"/>
  <c r="AI43" i="38" s="1"/>
  <c r="AX88" i="42"/>
  <c r="AI60" i="42" s="1"/>
  <c r="AZ60" i="42" s="1"/>
  <c r="AI44" i="38" s="1"/>
  <c r="AW89" i="42"/>
  <c r="AI68" i="42" s="1"/>
  <c r="AZ68" i="42" s="1"/>
  <c r="AW84" i="42"/>
  <c r="AI23" i="42" s="1"/>
  <c r="AZ23" i="42" s="1"/>
  <c r="K119" i="46"/>
  <c r="B131" i="46" s="1"/>
  <c r="T80" i="46"/>
  <c r="T81" i="46"/>
  <c r="X107" i="46"/>
  <c r="T107" i="46" s="1"/>
  <c r="T106" i="46"/>
  <c r="AV85" i="42"/>
  <c r="AI31" i="42" s="1"/>
  <c r="AZ31" i="42" s="1"/>
  <c r="AW86" i="42"/>
  <c r="AI41" i="42" s="1"/>
  <c r="AZ41" i="42" s="1"/>
  <c r="AU86" i="42"/>
  <c r="AI39" i="42" s="1"/>
  <c r="AZ39" i="42" s="1"/>
  <c r="AI31" i="38" s="1"/>
  <c r="AV87" i="42"/>
  <c r="AI49" i="42" s="1"/>
  <c r="AZ49" i="42" s="1"/>
  <c r="AU88" i="42"/>
  <c r="AI57" i="42" s="1"/>
  <c r="AZ57" i="42" s="1"/>
  <c r="AX83" i="42"/>
  <c r="AI15" i="42" s="1"/>
  <c r="AZ15" i="42" s="1"/>
  <c r="AX86" i="42"/>
  <c r="AI42" i="42" s="1"/>
  <c r="AZ42" i="42" s="1"/>
  <c r="AX84" i="42"/>
  <c r="AI24" i="42" s="1"/>
  <c r="AZ24" i="42" s="1"/>
  <c r="AX85" i="42"/>
  <c r="AI33" i="42" s="1"/>
  <c r="AZ33" i="42" s="1"/>
  <c r="AX89" i="42"/>
  <c r="AI69" i="42" s="1"/>
  <c r="AZ69" i="42" s="1"/>
  <c r="AW85" i="42"/>
  <c r="AI32" i="42" s="1"/>
  <c r="AZ32" i="42" s="1"/>
  <c r="AW83" i="42"/>
  <c r="AI14" i="42" s="1"/>
  <c r="AZ14" i="42" s="1"/>
  <c r="AI51" i="38"/>
  <c r="AI52" i="38"/>
  <c r="Q84" i="29"/>
  <c r="P94" i="41" s="1"/>
  <c r="Q83" i="29"/>
  <c r="P93" i="41" s="1"/>
  <c r="AI17" i="38" l="1"/>
  <c r="AI21" i="38"/>
  <c r="AI26" i="38"/>
  <c r="AI39" i="38"/>
  <c r="AI47" i="38"/>
  <c r="AI48" i="38"/>
  <c r="AI38" i="38"/>
  <c r="AI36" i="38"/>
  <c r="AI28" i="38"/>
  <c r="AI23" i="38"/>
  <c r="AI22" i="38"/>
  <c r="AI18" i="38"/>
  <c r="BA22" i="42"/>
  <c r="BA49" i="42"/>
  <c r="BA69" i="42"/>
  <c r="BA58" i="42"/>
  <c r="T86" i="46"/>
  <c r="Q82" i="29"/>
  <c r="P92" i="41" s="1"/>
  <c r="T111" i="46"/>
  <c r="K123" i="46" s="1"/>
  <c r="I132" i="46" s="1"/>
  <c r="M132" i="46" s="1"/>
  <c r="U107" i="46"/>
  <c r="T100" i="46"/>
  <c r="BA41" i="42"/>
  <c r="BA51" i="42"/>
  <c r="BA50" i="42"/>
  <c r="BA48" i="42"/>
  <c r="BA60" i="42"/>
  <c r="BA59" i="42"/>
  <c r="BA57" i="42"/>
  <c r="BA14" i="42"/>
  <c r="BA32" i="42"/>
  <c r="BA42" i="42"/>
  <c r="BA39" i="42"/>
  <c r="BA40" i="42"/>
  <c r="BA24" i="42"/>
  <c r="BA12" i="42"/>
  <c r="BA23" i="42"/>
  <c r="BA21" i="42"/>
  <c r="BA13" i="42"/>
  <c r="BA15" i="42"/>
  <c r="BA30" i="42"/>
  <c r="BA66" i="42"/>
  <c r="BA33" i="42"/>
  <c r="BA31" i="42"/>
  <c r="BA67" i="42"/>
  <c r="BA68" i="42"/>
  <c r="AI53" i="38"/>
  <c r="AI41" i="38"/>
  <c r="AI33" i="38"/>
  <c r="AI27" i="38"/>
  <c r="AI16" i="38"/>
  <c r="AD44" i="38" l="1"/>
  <c r="AI49" i="38"/>
  <c r="AI37" i="38"/>
  <c r="AD26" i="38"/>
  <c r="AD21" i="38"/>
  <c r="AI19" i="38"/>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T99" i="46"/>
  <c r="AD54" i="38"/>
  <c r="AI54" i="38"/>
  <c r="AD51" i="38"/>
  <c r="AD52" i="38"/>
  <c r="AD53" i="38"/>
  <c r="AD42" i="38"/>
  <c r="AI42" i="38"/>
  <c r="AD43" i="38"/>
  <c r="AD41" i="38"/>
  <c r="AD34" i="38"/>
  <c r="AI34" i="38"/>
  <c r="AD31" i="38"/>
  <c r="AD32" i="38"/>
  <c r="AD33" i="38"/>
  <c r="AD18" i="38" l="1"/>
  <c r="AD27" i="38"/>
  <c r="AN26" i="38" s="1"/>
  <c r="AD16" i="38"/>
  <c r="AD46" i="38"/>
  <c r="AD48" i="38"/>
  <c r="AD49" i="38"/>
  <c r="AD47" i="38"/>
  <c r="AD22" i="38"/>
  <c r="AD24" i="38"/>
  <c r="AD23" i="38"/>
  <c r="AI24" i="38"/>
  <c r="AD37" i="38"/>
  <c r="AD36" i="38"/>
  <c r="AD39" i="38"/>
  <c r="AD38" i="38"/>
  <c r="AI29" i="38"/>
  <c r="AD29" i="38"/>
  <c r="AD28" i="38"/>
  <c r="AD17" i="38"/>
  <c r="AD19" i="38"/>
  <c r="G125" i="46"/>
  <c r="C2" i="29"/>
  <c r="Q81" i="29"/>
  <c r="T101" i="46"/>
  <c r="T102" i="46" s="1"/>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Q39" i="38" l="1"/>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AE63" i="45"/>
  <c r="AG63" i="45" s="1"/>
  <c r="N85" i="29"/>
  <c r="Y3" i="38"/>
  <c r="D5" i="29"/>
  <c r="P66" i="25"/>
  <c r="L89" i="25" s="1"/>
  <c r="S87" i="29"/>
  <c r="S88" i="29" s="1"/>
  <c r="Q98" i="29" s="1"/>
  <c r="R98" i="29" s="1"/>
  <c r="P91" i="41"/>
  <c r="D5" i="41" s="1"/>
  <c r="X128" i="46"/>
  <c r="T69" i="29"/>
  <c r="AD21" i="42"/>
  <c r="T68" i="29"/>
  <c r="U38" i="29"/>
  <c r="S38" i="29" s="1"/>
  <c r="D27" i="29"/>
  <c r="AI6" i="43"/>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H80" i="45"/>
  <c r="Y81" i="45" s="1"/>
  <c r="AA115" i="45" s="1"/>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42"/>
  <c r="I83" i="45"/>
  <c r="D44" i="45" s="1"/>
  <c r="I81" i="45"/>
  <c r="K15" i="45"/>
  <c r="H81" i="45"/>
  <c r="D11" i="45" s="1"/>
  <c r="H83" i="45"/>
  <c r="F92" i="41"/>
  <c r="H84" i="45"/>
  <c r="D48" i="45" s="1"/>
  <c r="H82" i="45"/>
  <c r="N82" i="29"/>
  <c r="N92" i="41" s="1"/>
  <c r="N83" i="29"/>
  <c r="F83" i="29" s="1"/>
  <c r="C89" i="29" s="1"/>
  <c r="F85" i="29"/>
  <c r="Y80" i="45"/>
  <c r="AA114" i="45" s="1"/>
  <c r="Y84" i="45"/>
  <c r="E66" i="45" s="1"/>
  <c r="Y83" i="45"/>
  <c r="AA117" i="45" s="1"/>
  <c r="Y82" i="45"/>
  <c r="AA116" i="45" s="1"/>
  <c r="AB115" i="45"/>
  <c r="E54" i="45"/>
  <c r="N91" i="41"/>
  <c r="D15" i="45"/>
  <c r="G121" i="29" l="1"/>
  <c r="H121" i="29" s="1"/>
  <c r="T32" i="29" s="1"/>
  <c r="G128" i="29"/>
  <c r="G127" i="29"/>
  <c r="G129" i="29"/>
  <c r="AB116" i="45"/>
  <c r="E62" i="45"/>
  <c r="D29" i="45"/>
  <c r="AA118" i="45"/>
  <c r="AB114" i="45"/>
  <c r="G94" i="29"/>
  <c r="R7" i="29" s="1"/>
  <c r="G133" i="29"/>
  <c r="E50" i="45"/>
  <c r="G93" i="29"/>
  <c r="N94" i="29" s="1"/>
  <c r="G92" i="29"/>
  <c r="J92" i="29" s="1"/>
  <c r="G131" i="29"/>
  <c r="E58" i="45"/>
  <c r="G120" i="29"/>
  <c r="H120" i="29" s="1"/>
  <c r="G119" i="29"/>
  <c r="H119" i="29" s="1"/>
  <c r="G88" i="29"/>
  <c r="H90" i="29" s="1"/>
  <c r="AP148" i="43"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AB117" i="45"/>
  <c r="Q5" i="41"/>
  <c r="Q7" i="41"/>
  <c r="C2" i="41"/>
  <c r="F127" i="29" l="1"/>
  <c r="H127" i="29"/>
  <c r="F129" i="29"/>
  <c r="H129" i="29"/>
  <c r="H128" i="29"/>
  <c r="F128" i="29"/>
  <c r="AP162" i="43"/>
  <c r="AB118" i="45"/>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43"/>
  <c r="AK52" i="43" s="1"/>
  <c r="N52" i="43" s="1"/>
  <c r="N93" i="41"/>
  <c r="U35" i="29"/>
  <c r="S35" i="29" s="1"/>
  <c r="T33" i="29"/>
  <c r="D3" i="41"/>
  <c r="T47" i="29"/>
  <c r="G97" i="29"/>
  <c r="G96" i="29"/>
  <c r="H96" i="29" s="1"/>
  <c r="R10" i="29"/>
  <c r="R6" i="29"/>
  <c r="D20" i="41"/>
  <c r="D21" i="41"/>
  <c r="R19" i="29"/>
  <c r="D19" i="29" s="1"/>
  <c r="H85" i="45"/>
  <c r="U46" i="29" l="1"/>
  <c r="U56" i="29"/>
  <c r="S56" i="29" s="1"/>
  <c r="U55" i="29"/>
  <c r="U54" i="29"/>
  <c r="U59" i="29"/>
  <c r="S66" i="29" s="1"/>
  <c r="U49" i="29"/>
  <c r="S49" i="29" s="1"/>
  <c r="Y3" i="43"/>
  <c r="O3" i="64"/>
  <c r="U65" i="29"/>
  <c r="U64" i="29"/>
  <c r="T64" i="29"/>
  <c r="U61" i="29"/>
  <c r="T60" i="29"/>
  <c r="U60" i="29"/>
  <c r="U57" i="29"/>
  <c r="S57" i="29" s="1"/>
  <c r="U51" i="29"/>
  <c r="S58" i="29" s="1"/>
  <c r="U48" i="29"/>
  <c r="S48" i="29" s="1"/>
  <c r="T62" i="29"/>
  <c r="U62" i="29"/>
  <c r="U63" i="29"/>
  <c r="U47" i="29"/>
  <c r="T56" i="29"/>
  <c r="T54" i="29"/>
  <c r="T48" i="29"/>
  <c r="D16" i="29"/>
  <c r="AK36" i="43"/>
  <c r="AL52" i="43"/>
  <c r="N103" i="29"/>
  <c r="C98" i="29" s="1"/>
  <c r="H97" i="29"/>
  <c r="G102" i="29" s="1"/>
  <c r="R3" i="25"/>
  <c r="M3" i="41"/>
  <c r="P3" i="38"/>
  <c r="O3" i="46"/>
  <c r="O3" i="45"/>
  <c r="R5" i="29"/>
  <c r="D7" i="29" s="1"/>
  <c r="V3" i="42"/>
  <c r="T52" i="29"/>
  <c r="U53" i="29" s="1"/>
  <c r="T43" i="29"/>
  <c r="U42" i="29"/>
  <c r="S42" i="29" s="1"/>
  <c r="U41" i="29"/>
  <c r="S45" i="29" s="1"/>
  <c r="U43" i="29"/>
  <c r="S43" i="29" s="1"/>
  <c r="T44" i="29"/>
  <c r="U44" i="29"/>
  <c r="S44" i="29" s="1"/>
  <c r="AK28" i="43"/>
  <c r="N28" i="43" s="1"/>
  <c r="AL20" i="43"/>
  <c r="AF131" i="43" s="1"/>
  <c r="AA83" i="42"/>
  <c r="H135" i="29"/>
  <c r="AK24" i="43"/>
  <c r="N24" i="43" s="1"/>
  <c r="AL26" i="43"/>
  <c r="AF133" i="43" s="1"/>
  <c r="AK26" i="43"/>
  <c r="N26" i="43" s="1"/>
  <c r="AK14" i="43"/>
  <c r="AL18" i="43"/>
  <c r="AF130" i="43" s="1"/>
  <c r="AL16" i="43"/>
  <c r="V16" i="43" s="1"/>
  <c r="AL28" i="43"/>
  <c r="AK40" i="43"/>
  <c r="AK22" i="43"/>
  <c r="AK18" i="43"/>
  <c r="AK56" i="43"/>
  <c r="AL22" i="43"/>
  <c r="V22" i="43" s="1"/>
  <c r="AK20" i="43"/>
  <c r="N20" i="43" s="1"/>
  <c r="AL40" i="43"/>
  <c r="AL48" i="43"/>
  <c r="V48" i="43" s="1"/>
  <c r="AK16" i="43"/>
  <c r="N16" i="43" s="1"/>
  <c r="AL36" i="43"/>
  <c r="AL24" i="43"/>
  <c r="AF132" i="43" s="1"/>
  <c r="AL14" i="43"/>
  <c r="V14" i="43" s="1"/>
  <c r="U68" i="29"/>
  <c r="S68" i="29" s="1"/>
  <c r="AK38" i="43"/>
  <c r="AL46" i="43"/>
  <c r="V46" i="43" s="1"/>
  <c r="AL42" i="43"/>
  <c r="AJ62" i="43"/>
  <c r="D7" i="43" s="1"/>
  <c r="AL56" i="43"/>
  <c r="AF182" i="43" s="1"/>
  <c r="AM182" i="43" s="1"/>
  <c r="U69" i="29"/>
  <c r="S69" i="29" s="1"/>
  <c r="AL38" i="43"/>
  <c r="AK42" i="43"/>
  <c r="AK133" i="43" s="1"/>
  <c r="AK46" i="43"/>
  <c r="N46" i="43" s="1"/>
  <c r="AK48" i="43"/>
  <c r="N48" i="43" s="1"/>
  <c r="D23" i="45"/>
  <c r="D42" i="45"/>
  <c r="Q103" i="41"/>
  <c r="Q18" i="41" s="1"/>
  <c r="Q102" i="41"/>
  <c r="Q13" i="41" s="1"/>
  <c r="G99" i="29"/>
  <c r="O7" i="42" l="1"/>
  <c r="AA89" i="42"/>
  <c r="V26" i="43"/>
  <c r="AF153" i="43"/>
  <c r="AM153" i="43" s="1"/>
  <c r="AF181" i="43"/>
  <c r="AM181" i="43" s="1"/>
  <c r="AK130" i="43"/>
  <c r="AM130" i="43" s="1"/>
  <c r="AK145" i="43"/>
  <c r="AM145" i="43" s="1"/>
  <c r="AK143" i="43"/>
  <c r="AM143" i="43" s="1"/>
  <c r="V28" i="43"/>
  <c r="AK131" i="43"/>
  <c r="AM131" i="43" s="1"/>
  <c r="AK144" i="43"/>
  <c r="AM144" i="43" s="1"/>
  <c r="AK132" i="43"/>
  <c r="AM132" i="43" s="1"/>
  <c r="AK140" i="43"/>
  <c r="AM140" i="43" s="1"/>
  <c r="AK142" i="43"/>
  <c r="AM142" i="43" s="1"/>
  <c r="AK141" i="43"/>
  <c r="AM141" i="43" s="1"/>
  <c r="U52" i="29"/>
  <c r="S59" i="29"/>
  <c r="S51" i="29"/>
  <c r="N14" i="43"/>
  <c r="AG118" i="43"/>
  <c r="V56" i="43"/>
  <c r="AF154" i="43"/>
  <c r="AM154" i="43" s="1"/>
  <c r="V36" i="43"/>
  <c r="AM146" i="43"/>
  <c r="V42" i="43"/>
  <c r="V40" i="43"/>
  <c r="AM147" i="43"/>
  <c r="V52" i="43"/>
  <c r="AO52" i="43"/>
  <c r="AP52" i="43" s="1"/>
  <c r="N36" i="43"/>
  <c r="A18" i="41"/>
  <c r="Q65" i="41" s="1"/>
  <c r="A65" i="41" s="1"/>
  <c r="G101" i="29"/>
  <c r="S41" i="29"/>
  <c r="V20" i="43"/>
  <c r="AO48" i="43"/>
  <c r="AG50" i="43" s="1"/>
  <c r="AE106" i="43" s="1"/>
  <c r="AO26" i="43"/>
  <c r="N38" i="43"/>
  <c r="AO20" i="43"/>
  <c r="AO28" i="43"/>
  <c r="AO24" i="43"/>
  <c r="AG25" i="43" s="1"/>
  <c r="AC97" i="43" s="1"/>
  <c r="V18" i="43"/>
  <c r="AO18" i="43"/>
  <c r="N18" i="43"/>
  <c r="V24" i="43"/>
  <c r="AO40" i="43"/>
  <c r="AO16" i="43"/>
  <c r="N40" i="43"/>
  <c r="AO42" i="43"/>
  <c r="N42" i="43"/>
  <c r="AO22" i="43"/>
  <c r="V38" i="43"/>
  <c r="N22" i="43"/>
  <c r="AO14" i="43"/>
  <c r="AG15" i="43" s="1"/>
  <c r="AE98" i="43" s="1"/>
  <c r="AO56" i="43"/>
  <c r="N56" i="43"/>
  <c r="AO36" i="43"/>
  <c r="AG37" i="43" s="1"/>
  <c r="AC102" i="43" s="1"/>
  <c r="AO38" i="43"/>
  <c r="AO46" i="43"/>
  <c r="AG48" i="43" s="1"/>
  <c r="AC106" i="43" s="1"/>
  <c r="G98" i="29"/>
  <c r="N102" i="29"/>
  <c r="H102" i="29" s="1"/>
  <c r="Q108" i="41" s="1"/>
  <c r="G100" i="29"/>
  <c r="C97" i="41"/>
  <c r="Q9" i="41" s="1"/>
  <c r="G103" i="29"/>
  <c r="H103" i="29" s="1"/>
  <c r="N104" i="29"/>
  <c r="Q19" i="41"/>
  <c r="D16" i="41"/>
  <c r="D15" i="41"/>
  <c r="D14" i="41"/>
  <c r="AD63" i="46" l="1"/>
  <c r="AD66" i="46" s="1"/>
  <c r="J118" i="46" s="1"/>
  <c r="AP151" i="43"/>
  <c r="AM133" i="43"/>
  <c r="AP132" i="43" s="1"/>
  <c r="AP179" i="43"/>
  <c r="AP180" i="43"/>
  <c r="AP182" i="43"/>
  <c r="AP143" i="43"/>
  <c r="AP141" i="43"/>
  <c r="AP140" i="43"/>
  <c r="AP152" i="43"/>
  <c r="AP154" i="43"/>
  <c r="AG123" i="43"/>
  <c r="AG127" i="43"/>
  <c r="AG126" i="43"/>
  <c r="AG121" i="43"/>
  <c r="AG125" i="43"/>
  <c r="AG119" i="43"/>
  <c r="AP120" i="43" s="1"/>
  <c r="AG124" i="43"/>
  <c r="AG122" i="43"/>
  <c r="AG120" i="43"/>
  <c r="AH163" i="43"/>
  <c r="AR151" i="43"/>
  <c r="AR149" i="43"/>
  <c r="T93" i="46"/>
  <c r="T94" i="46"/>
  <c r="T95" i="46"/>
  <c r="I121" i="46" s="1"/>
  <c r="T92" i="46"/>
  <c r="H121" i="46" s="1"/>
  <c r="AJ166" i="43"/>
  <c r="AG57" i="43"/>
  <c r="AC112" i="43" s="1"/>
  <c r="AI106" i="43"/>
  <c r="AG49" i="43"/>
  <c r="AE109" i="43" s="1"/>
  <c r="AG106" i="43"/>
  <c r="AG47" i="43"/>
  <c r="AC109" i="43" s="1"/>
  <c r="AG43" i="43"/>
  <c r="AC103" i="43" s="1"/>
  <c r="AG41" i="43"/>
  <c r="AE103" i="43" s="1"/>
  <c r="AG39" i="43"/>
  <c r="AE102" i="43" s="1"/>
  <c r="AI102" i="43" s="1"/>
  <c r="AL102" i="43" s="1"/>
  <c r="AG29" i="43"/>
  <c r="AE99" i="43" s="1"/>
  <c r="AG27" i="43"/>
  <c r="AP22" i="43"/>
  <c r="AG23" i="43"/>
  <c r="AE97" i="43" s="1"/>
  <c r="AP20" i="43"/>
  <c r="AG21" i="43"/>
  <c r="AC96" i="43" s="1"/>
  <c r="AP18" i="43"/>
  <c r="AG19" i="43"/>
  <c r="AC98" i="43" s="1"/>
  <c r="AP16" i="43"/>
  <c r="AG17" i="43"/>
  <c r="AE96" i="43" s="1"/>
  <c r="AP26" i="43"/>
  <c r="AP48" i="43"/>
  <c r="AP24" i="43"/>
  <c r="AP28" i="43"/>
  <c r="AP40" i="43"/>
  <c r="AP56" i="43"/>
  <c r="AR150" i="43" s="1"/>
  <c r="AP42" i="43"/>
  <c r="AH166" i="43"/>
  <c r="AJ165" i="43"/>
  <c r="AJ163" i="43"/>
  <c r="AP14" i="43"/>
  <c r="AP38" i="43"/>
  <c r="AJ164" i="43"/>
  <c r="AP46" i="43"/>
  <c r="AH164" i="43"/>
  <c r="AH165" i="43"/>
  <c r="AL68" i="43"/>
  <c r="AP70" i="43" s="1"/>
  <c r="AP71" i="43" s="1"/>
  <c r="AP36" i="43"/>
  <c r="AN71" i="43"/>
  <c r="N101" i="29"/>
  <c r="H101" i="29" s="1"/>
  <c r="Q107" i="41" s="1"/>
  <c r="D18" i="41" s="1"/>
  <c r="H95" i="41"/>
  <c r="G95" i="41"/>
  <c r="Q38" i="41"/>
  <c r="E38" i="41"/>
  <c r="D38" i="41" s="1"/>
  <c r="E39" i="41"/>
  <c r="N105" i="29"/>
  <c r="G104" i="29"/>
  <c r="A19" i="41"/>
  <c r="Q66" i="41" s="1"/>
  <c r="A66" i="41" s="1"/>
  <c r="AF69" i="46" l="1"/>
  <c r="D64" i="46" s="1"/>
  <c r="I118" i="46"/>
  <c r="I125" i="46" s="1"/>
  <c r="Z63" i="46"/>
  <c r="Z64" i="46" s="1"/>
  <c r="H118" i="46"/>
  <c r="H125" i="46" s="1"/>
  <c r="D65" i="46"/>
  <c r="D68" i="46"/>
  <c r="D66" i="46"/>
  <c r="D67" i="46"/>
  <c r="K118" i="46"/>
  <c r="B130" i="46" s="1"/>
  <c r="AC99" i="43"/>
  <c r="AO155" i="43"/>
  <c r="AR159" i="43" s="1"/>
  <c r="AO183" i="43"/>
  <c r="AR160" i="43" s="1"/>
  <c r="AP130" i="43"/>
  <c r="AP129" i="43"/>
  <c r="AO144" i="43"/>
  <c r="AR157" i="43" s="1"/>
  <c r="AP121" i="43"/>
  <c r="AO124" i="43" s="1"/>
  <c r="AR155" i="43" s="1"/>
  <c r="AP123" i="43"/>
  <c r="O90" i="45"/>
  <c r="T89" i="46"/>
  <c r="B135" i="46" s="1"/>
  <c r="AM106" i="43"/>
  <c r="AC53" i="43" s="1"/>
  <c r="G53" i="43" s="1"/>
  <c r="AK106" i="43"/>
  <c r="AO102" i="43"/>
  <c r="AE47" i="43" s="1"/>
  <c r="O47" i="43" s="1"/>
  <c r="AO106" i="43"/>
  <c r="AE53" i="43" s="1"/>
  <c r="O53" i="43" s="1"/>
  <c r="AL106" i="43"/>
  <c r="AI109" i="43"/>
  <c r="AL109" i="43" s="1"/>
  <c r="AG109" i="43"/>
  <c r="AK109" i="43" s="1"/>
  <c r="AG112" i="43"/>
  <c r="AK112" i="43" s="1"/>
  <c r="AG102" i="43"/>
  <c r="AK102" i="43" s="1"/>
  <c r="AI103" i="43"/>
  <c r="AL103" i="43" s="1"/>
  <c r="AG103" i="43"/>
  <c r="AK103" i="43" s="1"/>
  <c r="AG99" i="43"/>
  <c r="AK99" i="43" s="1"/>
  <c r="AI98" i="43"/>
  <c r="AL98" i="43" s="1"/>
  <c r="AI99" i="43"/>
  <c r="AL99" i="43" s="1"/>
  <c r="AG98" i="43"/>
  <c r="AK98" i="43" s="1"/>
  <c r="AI97" i="43"/>
  <c r="AL97" i="43" s="1"/>
  <c r="AG97" i="43"/>
  <c r="AK97" i="43" s="1"/>
  <c r="AI96" i="43"/>
  <c r="AL96" i="43" s="1"/>
  <c r="AG96" i="43"/>
  <c r="AK96" i="43" s="1"/>
  <c r="J121" i="46"/>
  <c r="J125" i="46" s="1"/>
  <c r="O55" i="46"/>
  <c r="O56" i="46" s="1"/>
  <c r="AR148" i="43"/>
  <c r="AR146" i="43"/>
  <c r="AP163" i="43"/>
  <c r="AR144" i="43"/>
  <c r="AH150" i="43" s="1"/>
  <c r="AP164" i="43"/>
  <c r="AO167" i="43" s="1"/>
  <c r="AR162" i="43" s="1"/>
  <c r="AP166" i="43"/>
  <c r="AR143" i="43"/>
  <c r="AH149" i="43" s="1"/>
  <c r="AM149" i="43" s="1"/>
  <c r="AR147" i="43"/>
  <c r="AP64" i="43"/>
  <c r="N100" i="29"/>
  <c r="N99" i="29" s="1"/>
  <c r="N98" i="29" s="1"/>
  <c r="H98" i="29" s="1"/>
  <c r="H104" i="29"/>
  <c r="H96" i="41" s="1"/>
  <c r="Q34" i="41" s="1"/>
  <c r="G96" i="41"/>
  <c r="Q39" i="41"/>
  <c r="A38" i="41"/>
  <c r="Q82" i="41" s="1"/>
  <c r="A82" i="41" s="1"/>
  <c r="D106" i="29"/>
  <c r="G105" i="29"/>
  <c r="H105" i="29" s="1"/>
  <c r="Q20" i="41"/>
  <c r="AO133" i="43" l="1"/>
  <c r="AR156" i="43" s="1"/>
  <c r="AJ87" i="45"/>
  <c r="AJ80" i="45"/>
  <c r="AE80" i="45" s="1"/>
  <c r="AJ81" i="45"/>
  <c r="AE81" i="45" s="1"/>
  <c r="AX49" i="43"/>
  <c r="AW49" i="43" s="1"/>
  <c r="AX48" i="43"/>
  <c r="AW48" i="43" s="1"/>
  <c r="AX47" i="43"/>
  <c r="AW47" i="43" s="1"/>
  <c r="AX46" i="43"/>
  <c r="AW46" i="43" s="1"/>
  <c r="AX45" i="43"/>
  <c r="AW45" i="43" s="1"/>
  <c r="AX44" i="43"/>
  <c r="AW44" i="43" s="1"/>
  <c r="AX43" i="43"/>
  <c r="AW43" i="43" s="1"/>
  <c r="AX42" i="43"/>
  <c r="AW42" i="43" s="1"/>
  <c r="AX41" i="43"/>
  <c r="AW41" i="43" s="1"/>
  <c r="AX40" i="43"/>
  <c r="AW40" i="43" s="1"/>
  <c r="AX39" i="43"/>
  <c r="AW39" i="43" s="1"/>
  <c r="AX38" i="43"/>
  <c r="AW38" i="43" s="1"/>
  <c r="AX37" i="43"/>
  <c r="AW37" i="43" s="1"/>
  <c r="AX36" i="43"/>
  <c r="AW36" i="43" s="1"/>
  <c r="AX35" i="43"/>
  <c r="AW35" i="43" s="1"/>
  <c r="AX34" i="43"/>
  <c r="AW34" i="43" s="1"/>
  <c r="AX33" i="43"/>
  <c r="AW33" i="43" s="1"/>
  <c r="AX32" i="43"/>
  <c r="AW32" i="43" s="1"/>
  <c r="AX31" i="43"/>
  <c r="AW31" i="43" s="1"/>
  <c r="AX30" i="43"/>
  <c r="AW30" i="43" s="1"/>
  <c r="AX29" i="43"/>
  <c r="AW29" i="43" s="1"/>
  <c r="AT71" i="43"/>
  <c r="AS71" i="43" s="1"/>
  <c r="AT70" i="43"/>
  <c r="AS70" i="43" s="1"/>
  <c r="AT69" i="43"/>
  <c r="AS69" i="43" s="1"/>
  <c r="AT68" i="43"/>
  <c r="AS68" i="43" s="1"/>
  <c r="AT67" i="43"/>
  <c r="AS67" i="43" s="1"/>
  <c r="AT66" i="43"/>
  <c r="AS66" i="43" s="1"/>
  <c r="AT65" i="43"/>
  <c r="AS65" i="43" s="1"/>
  <c r="AT64" i="43"/>
  <c r="AS64" i="43" s="1"/>
  <c r="AT63" i="43"/>
  <c r="AS63" i="43" s="1"/>
  <c r="AT62" i="43"/>
  <c r="AS62" i="43" s="1"/>
  <c r="AT61" i="43"/>
  <c r="AS61" i="43" s="1"/>
  <c r="AT60" i="43"/>
  <c r="AS60" i="43" s="1"/>
  <c r="AT59" i="43"/>
  <c r="AS59" i="43" s="1"/>
  <c r="AT58" i="43"/>
  <c r="AS58" i="43" s="1"/>
  <c r="AT57" i="43"/>
  <c r="AS57" i="43" s="1"/>
  <c r="AT56" i="43"/>
  <c r="AS56" i="43" s="1"/>
  <c r="AT55" i="43"/>
  <c r="AS55" i="43" s="1"/>
  <c r="AT54" i="43"/>
  <c r="AS54" i="43" s="1"/>
  <c r="AT53" i="43"/>
  <c r="AS53" i="43" s="1"/>
  <c r="AT52" i="43"/>
  <c r="AS52" i="43" s="1"/>
  <c r="AT51" i="43"/>
  <c r="AS51" i="43" s="1"/>
  <c r="AZ49" i="43"/>
  <c r="AY49" i="43" s="1"/>
  <c r="AZ48" i="43"/>
  <c r="AY48" i="43" s="1"/>
  <c r="AZ47" i="43"/>
  <c r="AY47" i="43" s="1"/>
  <c r="AZ46" i="43"/>
  <c r="AY46" i="43" s="1"/>
  <c r="AZ45" i="43"/>
  <c r="AY45" i="43" s="1"/>
  <c r="AZ44" i="43"/>
  <c r="AY44" i="43" s="1"/>
  <c r="AZ43" i="43"/>
  <c r="AY43" i="43" s="1"/>
  <c r="AZ42" i="43"/>
  <c r="AY42" i="43" s="1"/>
  <c r="AZ41" i="43"/>
  <c r="AY41" i="43" s="1"/>
  <c r="AZ40" i="43"/>
  <c r="AY40" i="43" s="1"/>
  <c r="AZ39" i="43"/>
  <c r="AY39" i="43" s="1"/>
  <c r="AZ38" i="43"/>
  <c r="AY38" i="43" s="1"/>
  <c r="AZ37" i="43"/>
  <c r="AY37" i="43" s="1"/>
  <c r="AZ36" i="43"/>
  <c r="AY36" i="43" s="1"/>
  <c r="AZ35" i="43"/>
  <c r="AY35" i="43" s="1"/>
  <c r="AZ34" i="43"/>
  <c r="AY34" i="43" s="1"/>
  <c r="AZ33" i="43"/>
  <c r="AY33" i="43" s="1"/>
  <c r="AZ32" i="43"/>
  <c r="AY32" i="43" s="1"/>
  <c r="AZ31" i="43"/>
  <c r="AY31" i="43" s="1"/>
  <c r="AZ30" i="43"/>
  <c r="AY30" i="43" s="1"/>
  <c r="AZ29" i="43"/>
  <c r="AY29" i="43" s="1"/>
  <c r="AE13" i="45"/>
  <c r="AF13" i="45" s="1"/>
  <c r="AE32" i="45"/>
  <c r="AF32" i="45" s="1"/>
  <c r="AH16" i="45"/>
  <c r="AI16" i="45" s="1"/>
  <c r="AH17" i="45"/>
  <c r="AI17" i="45" s="1"/>
  <c r="AE17" i="45"/>
  <c r="AF17" i="45" s="1"/>
  <c r="AH34" i="45"/>
  <c r="AI34" i="45" s="1"/>
  <c r="AH32" i="45"/>
  <c r="AI32" i="45" s="1"/>
  <c r="AH21" i="45"/>
  <c r="AI21" i="45" s="1"/>
  <c r="AH25" i="45"/>
  <c r="AI25" i="45" s="1"/>
  <c r="AE9" i="45"/>
  <c r="AF9" i="45" s="1"/>
  <c r="AE19" i="45"/>
  <c r="AF19" i="45" s="1"/>
  <c r="AH33" i="45"/>
  <c r="AI33" i="45" s="1"/>
  <c r="AH27" i="45"/>
  <c r="AI27" i="45" s="1"/>
  <c r="AH30" i="45"/>
  <c r="AI30" i="45" s="1"/>
  <c r="AE20" i="45"/>
  <c r="AF20" i="45" s="1"/>
  <c r="AH19" i="45"/>
  <c r="AI19" i="45" s="1"/>
  <c r="AE11" i="45"/>
  <c r="AF11" i="45" s="1"/>
  <c r="AE28" i="45"/>
  <c r="AF28" i="45" s="1"/>
  <c r="AH6" i="45"/>
  <c r="AI6" i="45" s="1"/>
  <c r="AE15" i="45"/>
  <c r="AF15" i="45" s="1"/>
  <c r="AH31" i="45"/>
  <c r="AI31" i="45" s="1"/>
  <c r="AH14" i="45"/>
  <c r="AI14" i="45" s="1"/>
  <c r="AE7" i="45"/>
  <c r="AF7" i="45" s="1"/>
  <c r="AH8" i="45"/>
  <c r="AI8" i="45" s="1"/>
  <c r="AH15" i="45"/>
  <c r="AI15" i="45" s="1"/>
  <c r="AE36" i="45"/>
  <c r="AF36" i="45" s="1"/>
  <c r="AE30" i="45"/>
  <c r="AF30" i="45" s="1"/>
  <c r="AE10" i="45"/>
  <c r="AF10" i="45" s="1"/>
  <c r="AE14" i="45"/>
  <c r="AF14" i="45" s="1"/>
  <c r="AH12" i="45"/>
  <c r="AI12" i="45" s="1"/>
  <c r="AH29" i="45"/>
  <c r="AI29" i="45" s="1"/>
  <c r="AE23" i="45"/>
  <c r="AF23" i="45" s="1"/>
  <c r="AH28" i="45"/>
  <c r="AI28" i="45" s="1"/>
  <c r="AE33" i="45"/>
  <c r="AF33" i="45" s="1"/>
  <c r="AH13" i="45"/>
  <c r="AI13" i="45" s="1"/>
  <c r="AE29" i="45"/>
  <c r="AF29" i="45" s="1"/>
  <c r="AE26" i="45"/>
  <c r="AF26" i="45" s="1"/>
  <c r="AE24" i="45"/>
  <c r="AF24" i="45" s="1"/>
  <c r="AH5" i="45"/>
  <c r="AI5" i="45" s="1"/>
  <c r="AE34" i="45"/>
  <c r="AF34" i="45" s="1"/>
  <c r="AE18" i="45"/>
  <c r="AF18" i="45" s="1"/>
  <c r="AE5" i="45"/>
  <c r="AF5" i="45" s="1"/>
  <c r="AH9" i="45"/>
  <c r="AI9" i="45" s="1"/>
  <c r="AE27" i="45"/>
  <c r="AF27" i="45" s="1"/>
  <c r="AH24" i="45"/>
  <c r="AI24" i="45" s="1"/>
  <c r="AH18" i="45"/>
  <c r="AI18" i="45" s="1"/>
  <c r="AE6" i="45"/>
  <c r="AF6" i="45" s="1"/>
  <c r="AH26" i="45"/>
  <c r="AI26" i="45" s="1"/>
  <c r="AE35" i="45"/>
  <c r="AF35" i="45" s="1"/>
  <c r="AE16" i="45"/>
  <c r="AF16" i="45" s="1"/>
  <c r="AH35" i="45"/>
  <c r="AI35" i="45" s="1"/>
  <c r="AH7" i="45"/>
  <c r="AI7" i="45" s="1"/>
  <c r="AE22" i="45"/>
  <c r="AF22" i="45" s="1"/>
  <c r="AH22" i="45"/>
  <c r="AI22" i="45" s="1"/>
  <c r="AE8" i="45"/>
  <c r="AF8" i="45" s="1"/>
  <c r="AH36" i="45"/>
  <c r="AI36" i="45" s="1"/>
  <c r="AE21" i="45"/>
  <c r="AF21" i="45" s="1"/>
  <c r="AH23" i="45"/>
  <c r="AI23" i="45" s="1"/>
  <c r="AH20" i="45"/>
  <c r="AI20" i="45" s="1"/>
  <c r="AE12" i="45"/>
  <c r="AF12" i="45" s="1"/>
  <c r="AH11" i="45"/>
  <c r="AI11" i="45" s="1"/>
  <c r="AH10" i="45"/>
  <c r="AI10" i="45" s="1"/>
  <c r="AE25" i="45"/>
  <c r="AF25" i="45" s="1"/>
  <c r="AE31" i="45"/>
  <c r="AF31" i="45" s="1"/>
  <c r="AF46" i="45"/>
  <c r="AD46" i="45" s="1"/>
  <c r="AE110" i="45" s="1"/>
  <c r="AH110" i="45" s="1"/>
  <c r="U41" i="45" s="1"/>
  <c r="AI57" i="45"/>
  <c r="AI77" i="45" s="1"/>
  <c r="AE59" i="45"/>
  <c r="AM150" i="43"/>
  <c r="AO150" i="43" s="1"/>
  <c r="AR158" i="43" s="1"/>
  <c r="O92" i="45"/>
  <c r="AB134" i="46"/>
  <c r="T91" i="46"/>
  <c r="T90" i="46"/>
  <c r="AF47" i="45"/>
  <c r="AD47" i="45" s="1"/>
  <c r="AE109" i="45" s="1"/>
  <c r="AM165" i="43"/>
  <c r="AJ86" i="45"/>
  <c r="AK87" i="45" s="1"/>
  <c r="AH88" i="45" s="1"/>
  <c r="AX100" i="43"/>
  <c r="AW100" i="43" s="1"/>
  <c r="AX92" i="43"/>
  <c r="AW92" i="43" s="1"/>
  <c r="AX84" i="43"/>
  <c r="AW84" i="43" s="1"/>
  <c r="AX76" i="43"/>
  <c r="AW76" i="43" s="1"/>
  <c r="AX99" i="43"/>
  <c r="AW99" i="43" s="1"/>
  <c r="AX98" i="43"/>
  <c r="AW98" i="43" s="1"/>
  <c r="AX105" i="43"/>
  <c r="AW105" i="43" s="1"/>
  <c r="AX97" i="43"/>
  <c r="AW97" i="43" s="1"/>
  <c r="AX89" i="43"/>
  <c r="AW89" i="43" s="1"/>
  <c r="AX81" i="43"/>
  <c r="AW81" i="43" s="1"/>
  <c r="AX104" i="43"/>
  <c r="AW104" i="43" s="1"/>
  <c r="AX96" i="43"/>
  <c r="AW96" i="43" s="1"/>
  <c r="AX88" i="43"/>
  <c r="AW88" i="43" s="1"/>
  <c r="AX80" i="43"/>
  <c r="AW80" i="43" s="1"/>
  <c r="AX103" i="43"/>
  <c r="AW103" i="43" s="1"/>
  <c r="AX95" i="43"/>
  <c r="AW95" i="43" s="1"/>
  <c r="AX87" i="43"/>
  <c r="AW87" i="43" s="1"/>
  <c r="AX79" i="43"/>
  <c r="AW79" i="43" s="1"/>
  <c r="AX102" i="43"/>
  <c r="AW102" i="43" s="1"/>
  <c r="AX94" i="43"/>
  <c r="AW94" i="43" s="1"/>
  <c r="AX86" i="43"/>
  <c r="AW86" i="43" s="1"/>
  <c r="AX78" i="43"/>
  <c r="AW78" i="43" s="1"/>
  <c r="AX90" i="43"/>
  <c r="AW90" i="43" s="1"/>
  <c r="AX85" i="43"/>
  <c r="AW85" i="43" s="1"/>
  <c r="AX83" i="43"/>
  <c r="AW83" i="43" s="1"/>
  <c r="AX73" i="43"/>
  <c r="AW73" i="43" s="1"/>
  <c r="AX75" i="43"/>
  <c r="AW75" i="43" s="1"/>
  <c r="AX82" i="43"/>
  <c r="AW82" i="43" s="1"/>
  <c r="AX77" i="43"/>
  <c r="AW77" i="43" s="1"/>
  <c r="AX101" i="43"/>
  <c r="AW101" i="43" s="1"/>
  <c r="AX91" i="43"/>
  <c r="AW91" i="43" s="1"/>
  <c r="AX93" i="43"/>
  <c r="AW93" i="43" s="1"/>
  <c r="AX74" i="43"/>
  <c r="AW74" i="43" s="1"/>
  <c r="AZ98" i="43"/>
  <c r="AY98" i="43" s="1"/>
  <c r="AZ90" i="43"/>
  <c r="AY90" i="43" s="1"/>
  <c r="AZ82" i="43"/>
  <c r="AY82" i="43" s="1"/>
  <c r="AZ74" i="43"/>
  <c r="AY74" i="43" s="1"/>
  <c r="AZ73" i="43"/>
  <c r="AY73" i="43" s="1"/>
  <c r="AZ105" i="43"/>
  <c r="AY105" i="43" s="1"/>
  <c r="AZ97" i="43"/>
  <c r="AY97" i="43" s="1"/>
  <c r="AZ104" i="43"/>
  <c r="AY104" i="43" s="1"/>
  <c r="AZ96" i="43"/>
  <c r="AY96" i="43" s="1"/>
  <c r="AZ103" i="43"/>
  <c r="AY103" i="43" s="1"/>
  <c r="AZ95" i="43"/>
  <c r="AY95" i="43" s="1"/>
  <c r="AZ87" i="43"/>
  <c r="AY87" i="43" s="1"/>
  <c r="AZ79" i="43"/>
  <c r="AY79" i="43" s="1"/>
  <c r="AZ102" i="43"/>
  <c r="AY102" i="43" s="1"/>
  <c r="AZ94" i="43"/>
  <c r="AY94" i="43" s="1"/>
  <c r="AZ86" i="43"/>
  <c r="AY86" i="43" s="1"/>
  <c r="AZ78" i="43"/>
  <c r="AY78" i="43" s="1"/>
  <c r="AZ101" i="43"/>
  <c r="AY101" i="43" s="1"/>
  <c r="AZ93" i="43"/>
  <c r="AY93" i="43" s="1"/>
  <c r="AZ85" i="43"/>
  <c r="AY85" i="43" s="1"/>
  <c r="AZ77" i="43"/>
  <c r="AY77" i="43" s="1"/>
  <c r="AZ100" i="43"/>
  <c r="AY100" i="43" s="1"/>
  <c r="AZ92" i="43"/>
  <c r="AY92" i="43" s="1"/>
  <c r="AZ84" i="43"/>
  <c r="AY84" i="43" s="1"/>
  <c r="AZ76" i="43"/>
  <c r="AY76" i="43" s="1"/>
  <c r="AZ80" i="43"/>
  <c r="AY80" i="43" s="1"/>
  <c r="AZ75" i="43"/>
  <c r="AY75" i="43" s="1"/>
  <c r="AZ89" i="43"/>
  <c r="AY89" i="43" s="1"/>
  <c r="AZ91" i="43"/>
  <c r="AY91" i="43" s="1"/>
  <c r="AZ81" i="43"/>
  <c r="AY81" i="43" s="1"/>
  <c r="AZ99" i="43"/>
  <c r="AY99" i="43" s="1"/>
  <c r="AZ88" i="43"/>
  <c r="AY88" i="43" s="1"/>
  <c r="AZ83" i="43"/>
  <c r="AY83" i="43" s="1"/>
  <c r="AV102" i="43"/>
  <c r="AU102" i="43" s="1"/>
  <c r="AV94" i="43"/>
  <c r="AU94" i="43" s="1"/>
  <c r="AV86" i="43"/>
  <c r="AU86" i="43" s="1"/>
  <c r="AV78" i="43"/>
  <c r="AU78" i="43" s="1"/>
  <c r="AV101" i="43"/>
  <c r="AU101" i="43" s="1"/>
  <c r="AV100" i="43"/>
  <c r="AU100" i="43" s="1"/>
  <c r="AV99" i="43"/>
  <c r="AU99" i="43" s="1"/>
  <c r="AV91" i="43"/>
  <c r="AU91" i="43" s="1"/>
  <c r="AV83" i="43"/>
  <c r="AU83" i="43" s="1"/>
  <c r="AV75" i="43"/>
  <c r="AU75" i="43" s="1"/>
  <c r="AV98" i="43"/>
  <c r="AU98" i="43" s="1"/>
  <c r="AV90" i="43"/>
  <c r="AU90" i="43" s="1"/>
  <c r="AV82" i="43"/>
  <c r="AU82" i="43" s="1"/>
  <c r="AV74" i="43"/>
  <c r="AU74" i="43" s="1"/>
  <c r="AV73" i="43"/>
  <c r="AU73" i="43" s="1"/>
  <c r="AV105" i="43"/>
  <c r="AU105" i="43" s="1"/>
  <c r="AV97" i="43"/>
  <c r="AU97" i="43" s="1"/>
  <c r="AV89" i="43"/>
  <c r="AU89" i="43" s="1"/>
  <c r="AV81" i="43"/>
  <c r="AU81" i="43" s="1"/>
  <c r="AV104" i="43"/>
  <c r="AU104" i="43" s="1"/>
  <c r="AV96" i="43"/>
  <c r="AU96" i="43" s="1"/>
  <c r="AV88" i="43"/>
  <c r="AU88" i="43" s="1"/>
  <c r="AV80" i="43"/>
  <c r="AU80" i="43" s="1"/>
  <c r="AV76" i="43"/>
  <c r="AU76" i="43" s="1"/>
  <c r="AV85" i="43"/>
  <c r="AU85" i="43" s="1"/>
  <c r="AV103" i="43"/>
  <c r="AU103" i="43" s="1"/>
  <c r="AV92" i="43"/>
  <c r="AU92" i="43" s="1"/>
  <c r="AV87" i="43"/>
  <c r="AU87" i="43" s="1"/>
  <c r="AV95" i="43"/>
  <c r="AU95" i="43" s="1"/>
  <c r="AV77" i="43"/>
  <c r="AU77" i="43" s="1"/>
  <c r="AV84" i="43"/>
  <c r="AU84" i="43" s="1"/>
  <c r="AV79" i="43"/>
  <c r="AU79" i="43" s="1"/>
  <c r="AV93" i="43"/>
  <c r="AU93" i="43" s="1"/>
  <c r="AT104" i="43"/>
  <c r="AS104" i="43" s="1"/>
  <c r="AT96" i="43"/>
  <c r="AS96" i="43" s="1"/>
  <c r="AT88" i="43"/>
  <c r="AS88" i="43" s="1"/>
  <c r="AT80" i="43"/>
  <c r="AS80" i="43" s="1"/>
  <c r="AT103" i="43"/>
  <c r="AS103" i="43" s="1"/>
  <c r="AT95" i="43"/>
  <c r="AS95" i="43" s="1"/>
  <c r="AT102" i="43"/>
  <c r="AS102" i="43" s="1"/>
  <c r="AT94" i="43"/>
  <c r="AS94" i="43" s="1"/>
  <c r="AT101" i="43"/>
  <c r="AS101" i="43" s="1"/>
  <c r="AT93" i="43"/>
  <c r="AS93" i="43" s="1"/>
  <c r="AT85" i="43"/>
  <c r="AS85" i="43" s="1"/>
  <c r="AT77" i="43"/>
  <c r="AS77" i="43" s="1"/>
  <c r="AT100" i="43"/>
  <c r="AS100" i="43" s="1"/>
  <c r="AT92" i="43"/>
  <c r="AS92" i="43" s="1"/>
  <c r="AT84" i="43"/>
  <c r="AS84" i="43" s="1"/>
  <c r="AT76" i="43"/>
  <c r="AS76" i="43" s="1"/>
  <c r="AT99" i="43"/>
  <c r="AS99" i="43" s="1"/>
  <c r="AT91" i="43"/>
  <c r="AS91" i="43" s="1"/>
  <c r="AT83" i="43"/>
  <c r="AS83" i="43" s="1"/>
  <c r="AT75" i="43"/>
  <c r="AS75" i="43" s="1"/>
  <c r="AT98" i="43"/>
  <c r="AS98" i="43" s="1"/>
  <c r="AT90" i="43"/>
  <c r="AS90" i="43" s="1"/>
  <c r="AT82" i="43"/>
  <c r="AS82" i="43" s="1"/>
  <c r="AT74" i="43"/>
  <c r="AS74" i="43" s="1"/>
  <c r="AT73" i="43"/>
  <c r="AS73" i="43" s="1"/>
  <c r="AT105" i="43"/>
  <c r="AS105" i="43" s="1"/>
  <c r="AT97" i="43"/>
  <c r="AS97" i="43" s="1"/>
  <c r="AT81" i="43"/>
  <c r="AS81" i="43" s="1"/>
  <c r="AT78" i="43"/>
  <c r="AS78" i="43" s="1"/>
  <c r="AT87" i="43"/>
  <c r="AS87" i="43" s="1"/>
  <c r="AT86" i="43"/>
  <c r="AS86" i="43" s="1"/>
  <c r="AT89" i="43"/>
  <c r="AS89" i="43" s="1"/>
  <c r="AT79" i="43"/>
  <c r="AS79" i="43" s="1"/>
  <c r="AX132" i="43"/>
  <c r="AW132" i="43" s="1"/>
  <c r="AX124" i="43"/>
  <c r="AW124" i="43" s="1"/>
  <c r="AX116" i="43"/>
  <c r="AW116" i="43" s="1"/>
  <c r="AX108" i="43"/>
  <c r="AW108" i="43" s="1"/>
  <c r="AX137" i="43"/>
  <c r="AW137" i="43" s="1"/>
  <c r="AX129" i="43"/>
  <c r="AW129" i="43" s="1"/>
  <c r="AX121" i="43"/>
  <c r="AW121" i="43" s="1"/>
  <c r="AX113" i="43"/>
  <c r="AW113" i="43" s="1"/>
  <c r="AX131" i="43"/>
  <c r="AW131" i="43" s="1"/>
  <c r="AX123" i="43"/>
  <c r="AW123" i="43" s="1"/>
  <c r="AX115" i="43"/>
  <c r="AW115" i="43" s="1"/>
  <c r="AX134" i="43"/>
  <c r="AW134" i="43" s="1"/>
  <c r="AX126" i="43"/>
  <c r="AW126" i="43" s="1"/>
  <c r="AX118" i="43"/>
  <c r="AW118" i="43" s="1"/>
  <c r="AX110" i="43"/>
  <c r="AW110" i="43" s="1"/>
  <c r="AX107" i="43"/>
  <c r="AW107" i="43" s="1"/>
  <c r="AX139" i="43"/>
  <c r="AW139" i="43" s="1"/>
  <c r="AX114" i="43"/>
  <c r="AW114" i="43" s="1"/>
  <c r="AX136" i="43"/>
  <c r="AW136" i="43" s="1"/>
  <c r="AX128" i="43"/>
  <c r="AW128" i="43" s="1"/>
  <c r="AX120" i="43"/>
  <c r="AW120" i="43" s="1"/>
  <c r="AX112" i="43"/>
  <c r="AW112" i="43" s="1"/>
  <c r="AX138" i="43"/>
  <c r="AW138" i="43" s="1"/>
  <c r="AX133" i="43"/>
  <c r="AW133" i="43" s="1"/>
  <c r="AX125" i="43"/>
  <c r="AW125" i="43" s="1"/>
  <c r="AX117" i="43"/>
  <c r="AW117" i="43" s="1"/>
  <c r="AX109" i="43"/>
  <c r="AW109" i="43" s="1"/>
  <c r="AX130" i="43"/>
  <c r="AW130" i="43" s="1"/>
  <c r="AX122" i="43"/>
  <c r="AW122" i="43" s="1"/>
  <c r="AX135" i="43"/>
  <c r="AW135" i="43" s="1"/>
  <c r="AX127" i="43"/>
  <c r="AW127" i="43" s="1"/>
  <c r="AX119" i="43"/>
  <c r="AW119" i="43" s="1"/>
  <c r="AX111" i="43"/>
  <c r="AW111" i="43" s="1"/>
  <c r="AR134" i="43"/>
  <c r="AQ134" i="43" s="1"/>
  <c r="AR126" i="43"/>
  <c r="AQ126" i="43" s="1"/>
  <c r="AR118" i="43"/>
  <c r="AQ118" i="43" s="1"/>
  <c r="AR110" i="43"/>
  <c r="AQ110" i="43" s="1"/>
  <c r="AR107" i="43"/>
  <c r="AQ107" i="43" s="1"/>
  <c r="AR116" i="43"/>
  <c r="AQ116" i="43" s="1"/>
  <c r="AR108" i="43"/>
  <c r="AQ108" i="43" s="1"/>
  <c r="AR139" i="43"/>
  <c r="AQ139" i="43" s="1"/>
  <c r="AR131" i="43"/>
  <c r="AQ131" i="43" s="1"/>
  <c r="AR123" i="43"/>
  <c r="AQ123" i="43" s="1"/>
  <c r="AR115" i="43"/>
  <c r="AQ115" i="43" s="1"/>
  <c r="AR133" i="43"/>
  <c r="AQ133" i="43" s="1"/>
  <c r="AR125" i="43"/>
  <c r="AQ125" i="43" s="1"/>
  <c r="AR136" i="43"/>
  <c r="AQ136" i="43" s="1"/>
  <c r="AR128" i="43"/>
  <c r="AQ128" i="43" s="1"/>
  <c r="AR120" i="43"/>
  <c r="AQ120" i="43" s="1"/>
  <c r="AR112" i="43"/>
  <c r="AQ112" i="43" s="1"/>
  <c r="AR117" i="43"/>
  <c r="AQ117" i="43" s="1"/>
  <c r="AR138" i="43"/>
  <c r="AQ138" i="43" s="1"/>
  <c r="AR130" i="43"/>
  <c r="AQ130" i="43" s="1"/>
  <c r="AR122" i="43"/>
  <c r="AQ122" i="43" s="1"/>
  <c r="AR114" i="43"/>
  <c r="AQ114" i="43" s="1"/>
  <c r="AR135" i="43"/>
  <c r="AQ135" i="43" s="1"/>
  <c r="AR127" i="43"/>
  <c r="AQ127" i="43" s="1"/>
  <c r="AR119" i="43"/>
  <c r="AQ119" i="43" s="1"/>
  <c r="AR111" i="43"/>
  <c r="AQ111" i="43" s="1"/>
  <c r="AR132" i="43"/>
  <c r="AQ132" i="43" s="1"/>
  <c r="AR124" i="43"/>
  <c r="AQ124" i="43" s="1"/>
  <c r="AR137" i="43"/>
  <c r="AQ137" i="43" s="1"/>
  <c r="AR129" i="43"/>
  <c r="AQ129" i="43" s="1"/>
  <c r="AR121" i="43"/>
  <c r="AQ121" i="43" s="1"/>
  <c r="AR113" i="43"/>
  <c r="AQ113" i="43" s="1"/>
  <c r="AR109" i="43"/>
  <c r="AQ109" i="43" s="1"/>
  <c r="AZ134" i="43"/>
  <c r="AY134" i="43" s="1"/>
  <c r="AZ126" i="43"/>
  <c r="AY126" i="43" s="1"/>
  <c r="AZ118" i="43"/>
  <c r="AY118" i="43" s="1"/>
  <c r="AZ110" i="43"/>
  <c r="AY110" i="43" s="1"/>
  <c r="AZ107" i="43"/>
  <c r="AY107" i="43" s="1"/>
  <c r="AZ139" i="43"/>
  <c r="AY139" i="43" s="1"/>
  <c r="AZ131" i="43"/>
  <c r="AY131" i="43" s="1"/>
  <c r="AZ123" i="43"/>
  <c r="AY123" i="43" s="1"/>
  <c r="AZ115" i="43"/>
  <c r="AY115" i="43" s="1"/>
  <c r="AZ133" i="43"/>
  <c r="AY133" i="43" s="1"/>
  <c r="AZ125" i="43"/>
  <c r="AY125" i="43" s="1"/>
  <c r="AZ136" i="43"/>
  <c r="AY136" i="43" s="1"/>
  <c r="AZ128" i="43"/>
  <c r="AY128" i="43" s="1"/>
  <c r="AZ120" i="43"/>
  <c r="AY120" i="43" s="1"/>
  <c r="AZ112" i="43"/>
  <c r="AY112" i="43" s="1"/>
  <c r="AZ116" i="43"/>
  <c r="AY116" i="43" s="1"/>
  <c r="AZ138" i="43"/>
  <c r="AY138" i="43" s="1"/>
  <c r="AZ130" i="43"/>
  <c r="AY130" i="43" s="1"/>
  <c r="AZ122" i="43"/>
  <c r="AY122" i="43" s="1"/>
  <c r="AZ114" i="43"/>
  <c r="AY114" i="43" s="1"/>
  <c r="AZ135" i="43"/>
  <c r="AY135" i="43" s="1"/>
  <c r="AZ127" i="43"/>
  <c r="AY127" i="43" s="1"/>
  <c r="AZ119" i="43"/>
  <c r="AY119" i="43" s="1"/>
  <c r="AZ111" i="43"/>
  <c r="AY111" i="43" s="1"/>
  <c r="AZ132" i="43"/>
  <c r="AY132" i="43" s="1"/>
  <c r="AZ124" i="43"/>
  <c r="AY124" i="43" s="1"/>
  <c r="AZ137" i="43"/>
  <c r="AY137" i="43" s="1"/>
  <c r="AZ129" i="43"/>
  <c r="AY129" i="43" s="1"/>
  <c r="AZ121" i="43"/>
  <c r="AY121" i="43" s="1"/>
  <c r="AZ113" i="43"/>
  <c r="AY113" i="43" s="1"/>
  <c r="AZ117" i="43"/>
  <c r="AY117" i="43" s="1"/>
  <c r="AZ109" i="43"/>
  <c r="AY109" i="43" s="1"/>
  <c r="AZ108" i="43"/>
  <c r="AY108" i="43" s="1"/>
  <c r="AT136" i="43"/>
  <c r="AS136" i="43" s="1"/>
  <c r="AT128" i="43"/>
  <c r="AS128" i="43" s="1"/>
  <c r="AT120" i="43"/>
  <c r="AS120" i="43" s="1"/>
  <c r="AT112" i="43"/>
  <c r="AS112" i="43" s="1"/>
  <c r="AT126" i="43"/>
  <c r="AS126" i="43" s="1"/>
  <c r="AT133" i="43"/>
  <c r="AS133" i="43" s="1"/>
  <c r="AT125" i="43"/>
  <c r="AS125" i="43" s="1"/>
  <c r="AT117" i="43"/>
  <c r="AS117" i="43" s="1"/>
  <c r="AT109" i="43"/>
  <c r="AS109" i="43" s="1"/>
  <c r="AT118" i="43"/>
  <c r="AS118" i="43" s="1"/>
  <c r="AT110" i="43"/>
  <c r="AS110" i="43" s="1"/>
  <c r="AT107" i="43"/>
  <c r="AS107" i="43" s="1"/>
  <c r="AT138" i="43"/>
  <c r="AS138" i="43" s="1"/>
  <c r="AT130" i="43"/>
  <c r="AS130" i="43" s="1"/>
  <c r="AT122" i="43"/>
  <c r="AS122" i="43" s="1"/>
  <c r="AT114" i="43"/>
  <c r="AS114" i="43" s="1"/>
  <c r="AT132" i="43"/>
  <c r="AS132" i="43" s="1"/>
  <c r="AT124" i="43"/>
  <c r="AS124" i="43" s="1"/>
  <c r="AT116" i="43"/>
  <c r="AS116" i="43" s="1"/>
  <c r="AT108" i="43"/>
  <c r="AS108" i="43" s="1"/>
  <c r="AT137" i="43"/>
  <c r="AS137" i="43" s="1"/>
  <c r="AT129" i="43"/>
  <c r="AS129" i="43" s="1"/>
  <c r="AT121" i="43"/>
  <c r="AS121" i="43" s="1"/>
  <c r="AT113" i="43"/>
  <c r="AS113" i="43" s="1"/>
  <c r="AT134" i="43"/>
  <c r="AS134" i="43" s="1"/>
  <c r="AT139" i="43"/>
  <c r="AS139" i="43" s="1"/>
  <c r="AT131" i="43"/>
  <c r="AS131" i="43" s="1"/>
  <c r="AT123" i="43"/>
  <c r="AS123" i="43" s="1"/>
  <c r="AT115" i="43"/>
  <c r="AS115" i="43" s="1"/>
  <c r="AT135" i="43"/>
  <c r="AS135" i="43" s="1"/>
  <c r="AT127" i="43"/>
  <c r="AS127" i="43" s="1"/>
  <c r="AT119" i="43"/>
  <c r="AS119" i="43" s="1"/>
  <c r="AT111" i="43"/>
  <c r="AS111" i="43" s="1"/>
  <c r="AV138" i="43"/>
  <c r="AU138" i="43" s="1"/>
  <c r="AV130" i="43"/>
  <c r="AU130" i="43" s="1"/>
  <c r="AV122" i="43"/>
  <c r="AU122" i="43" s="1"/>
  <c r="AV114" i="43"/>
  <c r="AU114" i="43" s="1"/>
  <c r="AV112" i="43"/>
  <c r="AU112" i="43" s="1"/>
  <c r="AV135" i="43"/>
  <c r="AU135" i="43" s="1"/>
  <c r="AV127" i="43"/>
  <c r="AU127" i="43" s="1"/>
  <c r="AV119" i="43"/>
  <c r="AU119" i="43" s="1"/>
  <c r="AV111" i="43"/>
  <c r="AU111" i="43" s="1"/>
  <c r="AV129" i="43"/>
  <c r="AU129" i="43" s="1"/>
  <c r="AV121" i="43"/>
  <c r="AU121" i="43" s="1"/>
  <c r="AV132" i="43"/>
  <c r="AU132" i="43" s="1"/>
  <c r="AV124" i="43"/>
  <c r="AU124" i="43" s="1"/>
  <c r="AV116" i="43"/>
  <c r="AU116" i="43" s="1"/>
  <c r="AV108" i="43"/>
  <c r="AU108" i="43" s="1"/>
  <c r="AV134" i="43"/>
  <c r="AU134" i="43" s="1"/>
  <c r="AV126" i="43"/>
  <c r="AU126" i="43" s="1"/>
  <c r="AV118" i="43"/>
  <c r="AU118" i="43" s="1"/>
  <c r="AV110" i="43"/>
  <c r="AU110" i="43" s="1"/>
  <c r="AV107" i="43"/>
  <c r="AU107" i="43" s="1"/>
  <c r="AV139" i="43"/>
  <c r="AU139" i="43" s="1"/>
  <c r="AV131" i="43"/>
  <c r="AU131" i="43" s="1"/>
  <c r="AV123" i="43"/>
  <c r="AU123" i="43" s="1"/>
  <c r="AV115" i="43"/>
  <c r="AU115" i="43" s="1"/>
  <c r="AV136" i="43"/>
  <c r="AU136" i="43" s="1"/>
  <c r="AV128" i="43"/>
  <c r="AU128" i="43" s="1"/>
  <c r="AV120" i="43"/>
  <c r="AU120" i="43" s="1"/>
  <c r="AV133" i="43"/>
  <c r="AU133" i="43" s="1"/>
  <c r="AV125" i="43"/>
  <c r="AU125" i="43" s="1"/>
  <c r="AV117" i="43"/>
  <c r="AU117" i="43" s="1"/>
  <c r="AV109" i="43"/>
  <c r="AU109" i="43" s="1"/>
  <c r="AV137" i="43"/>
  <c r="AU137" i="43" s="1"/>
  <c r="AV113" i="43"/>
  <c r="AU113" i="43" s="1"/>
  <c r="AO98" i="43"/>
  <c r="AE41" i="43" s="1"/>
  <c r="O41" i="43" s="1"/>
  <c r="AM99" i="43"/>
  <c r="AC43" i="43" s="1"/>
  <c r="G43" i="43" s="1"/>
  <c r="AO99" i="43"/>
  <c r="AE43" i="43" s="1"/>
  <c r="O43" i="43" s="1"/>
  <c r="AO96" i="43"/>
  <c r="AE37" i="43" s="1"/>
  <c r="O37" i="43" s="1"/>
  <c r="AM109" i="43"/>
  <c r="AC57" i="43" s="1"/>
  <c r="G57" i="43" s="1"/>
  <c r="AM103" i="43"/>
  <c r="AC49" i="43" s="1"/>
  <c r="G49" i="43" s="1"/>
  <c r="AO103" i="43"/>
  <c r="AE49" i="43" s="1"/>
  <c r="O49" i="43" s="1"/>
  <c r="AM102" i="43"/>
  <c r="AC47" i="43" s="1"/>
  <c r="G47" i="43" s="1"/>
  <c r="AM112" i="43"/>
  <c r="AE60" i="43" s="1"/>
  <c r="O60" i="43" s="1"/>
  <c r="AO109" i="43"/>
  <c r="AE57" i="43" s="1"/>
  <c r="O57" i="43" s="1"/>
  <c r="AM98" i="43"/>
  <c r="AC41" i="43" s="1"/>
  <c r="G41" i="43" s="1"/>
  <c r="AM96" i="43"/>
  <c r="AC37" i="43" s="1"/>
  <c r="G37" i="43" s="1"/>
  <c r="AO97" i="43"/>
  <c r="AE39" i="43" s="1"/>
  <c r="O39" i="43" s="1"/>
  <c r="AM97" i="43"/>
  <c r="AC39" i="43" s="1"/>
  <c r="G39" i="43" s="1"/>
  <c r="U13" i="45"/>
  <c r="U34" i="45"/>
  <c r="U36" i="45"/>
  <c r="U21" i="45"/>
  <c r="U15" i="45"/>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D42" i="45" l="1"/>
  <c r="AD41" i="45"/>
  <c r="AE41" i="45" s="1"/>
  <c r="AG41" i="45" s="1"/>
  <c r="AI41" i="45" s="1"/>
  <c r="AF37" i="45"/>
  <c r="AD44" i="45" s="1"/>
  <c r="AE106" i="45" s="1"/>
  <c r="AH106" i="45" s="1"/>
  <c r="U33" i="45" s="1"/>
  <c r="AI37" i="45"/>
  <c r="AV71" i="43"/>
  <c r="AU71" i="43" s="1"/>
  <c r="AV70" i="43"/>
  <c r="AU70" i="43" s="1"/>
  <c r="AV69" i="43"/>
  <c r="AU69" i="43" s="1"/>
  <c r="AV68" i="43"/>
  <c r="AU68" i="43" s="1"/>
  <c r="AV67" i="43"/>
  <c r="AU67" i="43" s="1"/>
  <c r="AV66" i="43"/>
  <c r="AU66" i="43" s="1"/>
  <c r="AV65" i="43"/>
  <c r="AU65" i="43" s="1"/>
  <c r="AV64" i="43"/>
  <c r="AU64" i="43" s="1"/>
  <c r="AV63" i="43"/>
  <c r="AU63" i="43" s="1"/>
  <c r="AV62" i="43"/>
  <c r="AU62" i="43" s="1"/>
  <c r="AV61" i="43"/>
  <c r="AU61" i="43" s="1"/>
  <c r="AV60" i="43"/>
  <c r="AU60" i="43" s="1"/>
  <c r="AV59" i="43"/>
  <c r="AU59" i="43" s="1"/>
  <c r="AV58" i="43"/>
  <c r="AU58" i="43" s="1"/>
  <c r="AV57" i="43"/>
  <c r="AU57" i="43" s="1"/>
  <c r="AV56" i="43"/>
  <c r="AU56" i="43" s="1"/>
  <c r="AV55" i="43"/>
  <c r="AU55" i="43" s="1"/>
  <c r="AV54" i="43"/>
  <c r="AU54" i="43" s="1"/>
  <c r="AV53" i="43"/>
  <c r="AU53" i="43" s="1"/>
  <c r="AV52" i="43"/>
  <c r="AU52" i="43" s="1"/>
  <c r="AV51" i="43"/>
  <c r="AU51" i="43" s="1"/>
  <c r="AV49" i="43"/>
  <c r="AU49" i="43" s="1"/>
  <c r="AV48" i="43"/>
  <c r="AU48" i="43" s="1"/>
  <c r="AV47" i="43"/>
  <c r="AU47" i="43" s="1"/>
  <c r="AV46" i="43"/>
  <c r="AU46" i="43" s="1"/>
  <c r="AV45" i="43"/>
  <c r="AU45" i="43" s="1"/>
  <c r="AV44" i="43"/>
  <c r="AU44" i="43" s="1"/>
  <c r="AV43" i="43"/>
  <c r="AU43" i="43" s="1"/>
  <c r="AV42" i="43"/>
  <c r="AU42" i="43" s="1"/>
  <c r="AV41" i="43"/>
  <c r="AU41" i="43" s="1"/>
  <c r="AV40" i="43"/>
  <c r="AU40" i="43" s="1"/>
  <c r="AV39" i="43"/>
  <c r="AU39" i="43" s="1"/>
  <c r="AV38" i="43"/>
  <c r="AU38" i="43" s="1"/>
  <c r="AV37" i="43"/>
  <c r="AU37" i="43" s="1"/>
  <c r="AV36" i="43"/>
  <c r="AU36" i="43" s="1"/>
  <c r="AV35" i="43"/>
  <c r="AU35" i="43" s="1"/>
  <c r="AV34" i="43"/>
  <c r="AU34" i="43" s="1"/>
  <c r="AV33" i="43"/>
  <c r="AU33" i="43" s="1"/>
  <c r="AV32" i="43"/>
  <c r="AU32" i="43" s="1"/>
  <c r="AV31" i="43"/>
  <c r="AU31" i="43" s="1"/>
  <c r="AV30" i="43"/>
  <c r="AU30" i="43" s="1"/>
  <c r="AV29" i="43"/>
  <c r="AU29" i="43" s="1"/>
  <c r="AT49" i="43"/>
  <c r="AS49" i="43" s="1"/>
  <c r="AT48" i="43"/>
  <c r="AS48" i="43" s="1"/>
  <c r="AT47" i="43"/>
  <c r="AS47" i="43" s="1"/>
  <c r="AT46" i="43"/>
  <c r="AS46" i="43" s="1"/>
  <c r="AT45" i="43"/>
  <c r="AS45" i="43" s="1"/>
  <c r="AT44" i="43"/>
  <c r="AS44" i="43" s="1"/>
  <c r="AT43" i="43"/>
  <c r="AS43" i="43" s="1"/>
  <c r="AT42" i="43"/>
  <c r="AS42" i="43" s="1"/>
  <c r="AT41" i="43"/>
  <c r="AS41" i="43" s="1"/>
  <c r="AT40" i="43"/>
  <c r="AS40" i="43" s="1"/>
  <c r="AT39" i="43"/>
  <c r="AS39" i="43" s="1"/>
  <c r="AT38" i="43"/>
  <c r="AS38" i="43" s="1"/>
  <c r="AT37" i="43"/>
  <c r="AS37" i="43" s="1"/>
  <c r="AT36" i="43"/>
  <c r="AS36" i="43" s="1"/>
  <c r="AT35" i="43"/>
  <c r="AS35" i="43" s="1"/>
  <c r="AT34" i="43"/>
  <c r="AS34" i="43" s="1"/>
  <c r="AT33" i="43"/>
  <c r="AS33" i="43" s="1"/>
  <c r="AT32" i="43"/>
  <c r="AS32" i="43" s="1"/>
  <c r="AT31" i="43"/>
  <c r="AS31" i="43" s="1"/>
  <c r="AT30" i="43"/>
  <c r="AS30" i="43" s="1"/>
  <c r="AT29" i="43"/>
  <c r="AS29" i="43" s="1"/>
  <c r="AZ71" i="43"/>
  <c r="AY71" i="43" s="1"/>
  <c r="AZ70" i="43"/>
  <c r="AY70" i="43" s="1"/>
  <c r="AZ69" i="43"/>
  <c r="AY69" i="43" s="1"/>
  <c r="AZ68" i="43"/>
  <c r="AY68" i="43" s="1"/>
  <c r="AZ67" i="43"/>
  <c r="AY67" i="43" s="1"/>
  <c r="AZ66" i="43"/>
  <c r="AY66" i="43" s="1"/>
  <c r="AZ65" i="43"/>
  <c r="AY65" i="43" s="1"/>
  <c r="AZ64" i="43"/>
  <c r="AY64" i="43" s="1"/>
  <c r="AZ63" i="43"/>
  <c r="AY63" i="43" s="1"/>
  <c r="AZ62" i="43"/>
  <c r="AY62" i="43" s="1"/>
  <c r="AZ61" i="43"/>
  <c r="AY61" i="43" s="1"/>
  <c r="AZ60" i="43"/>
  <c r="AY60" i="43" s="1"/>
  <c r="AZ59" i="43"/>
  <c r="AY59" i="43" s="1"/>
  <c r="AZ58" i="43"/>
  <c r="AY58" i="43" s="1"/>
  <c r="AZ57" i="43"/>
  <c r="AY57" i="43" s="1"/>
  <c r="AZ56" i="43"/>
  <c r="AY56" i="43" s="1"/>
  <c r="AZ55" i="43"/>
  <c r="AY55" i="43" s="1"/>
  <c r="AZ54" i="43"/>
  <c r="AY54" i="43" s="1"/>
  <c r="AZ53" i="43"/>
  <c r="AY53" i="43" s="1"/>
  <c r="AZ52" i="43"/>
  <c r="AY52" i="43" s="1"/>
  <c r="AZ51" i="43"/>
  <c r="AY51" i="43" s="1"/>
  <c r="AX71" i="43"/>
  <c r="AW71" i="43" s="1"/>
  <c r="AX70" i="43"/>
  <c r="AW70" i="43" s="1"/>
  <c r="AX69" i="43"/>
  <c r="AW69" i="43" s="1"/>
  <c r="AX68" i="43"/>
  <c r="AW68" i="43" s="1"/>
  <c r="AX67" i="43"/>
  <c r="AW67" i="43" s="1"/>
  <c r="AX66" i="43"/>
  <c r="AW66" i="43" s="1"/>
  <c r="AX65" i="43"/>
  <c r="AW65" i="43" s="1"/>
  <c r="AX64" i="43"/>
  <c r="AW64" i="43" s="1"/>
  <c r="AX63" i="43"/>
  <c r="AW63" i="43" s="1"/>
  <c r="AX62" i="43"/>
  <c r="AW62" i="43" s="1"/>
  <c r="AX61" i="43"/>
  <c r="AW61" i="43" s="1"/>
  <c r="AX60" i="43"/>
  <c r="AW60" i="43" s="1"/>
  <c r="AX59" i="43"/>
  <c r="AW59" i="43" s="1"/>
  <c r="AX58" i="43"/>
  <c r="AW58" i="43" s="1"/>
  <c r="AX57" i="43"/>
  <c r="AW57" i="43" s="1"/>
  <c r="AX56" i="43"/>
  <c r="AW56" i="43" s="1"/>
  <c r="AX55" i="43"/>
  <c r="AW55" i="43" s="1"/>
  <c r="AX54" i="43"/>
  <c r="AW54" i="43" s="1"/>
  <c r="AX53" i="43"/>
  <c r="AW53" i="43" s="1"/>
  <c r="AX52" i="43"/>
  <c r="AW52" i="43" s="1"/>
  <c r="AX51" i="43"/>
  <c r="AW51" i="43" s="1"/>
  <c r="AJ25" i="45"/>
  <c r="AK25" i="45" s="1"/>
  <c r="AJ27" i="45"/>
  <c r="AK27" i="45" s="1"/>
  <c r="AJ33" i="45"/>
  <c r="AK33" i="45" s="1"/>
  <c r="AJ16" i="45"/>
  <c r="AK16" i="45" s="1"/>
  <c r="AJ15" i="45"/>
  <c r="AK15" i="45" s="1"/>
  <c r="AJ36" i="45"/>
  <c r="AK36" i="45" s="1"/>
  <c r="AJ28" i="45"/>
  <c r="AK28" i="45" s="1"/>
  <c r="AJ9" i="45"/>
  <c r="AK9" i="45" s="1"/>
  <c r="AJ32" i="45"/>
  <c r="AK32" i="45" s="1"/>
  <c r="AJ11" i="45"/>
  <c r="AK11" i="45" s="1"/>
  <c r="AJ18" i="45"/>
  <c r="AK18" i="45" s="1"/>
  <c r="AJ20" i="45"/>
  <c r="AK20" i="45" s="1"/>
  <c r="AJ17" i="45"/>
  <c r="AK17" i="45" s="1"/>
  <c r="AJ23" i="45"/>
  <c r="AK23" i="45" s="1"/>
  <c r="AJ35" i="45"/>
  <c r="AK35" i="45" s="1"/>
  <c r="AJ13" i="45"/>
  <c r="AK13" i="45" s="1"/>
  <c r="AJ12" i="45"/>
  <c r="AK12" i="45" s="1"/>
  <c r="AJ24" i="45"/>
  <c r="AK24" i="45" s="1"/>
  <c r="AJ26" i="45"/>
  <c r="AK26" i="45" s="1"/>
  <c r="AJ14" i="45"/>
  <c r="AK14" i="45" s="1"/>
  <c r="AJ30" i="45"/>
  <c r="AK30" i="45" s="1"/>
  <c r="AJ22" i="45"/>
  <c r="AK22" i="45" s="1"/>
  <c r="AJ31" i="45"/>
  <c r="AK31" i="45" s="1"/>
  <c r="AJ34" i="45"/>
  <c r="AK34" i="45" s="1"/>
  <c r="AJ6" i="45"/>
  <c r="AK6" i="45" s="1"/>
  <c r="AE42" i="45"/>
  <c r="AG42" i="45" s="1"/>
  <c r="AI42" i="45" s="1"/>
  <c r="AJ29" i="45"/>
  <c r="AK29" i="45" s="1"/>
  <c r="AJ7" i="45"/>
  <c r="AK7" i="45" s="1"/>
  <c r="AJ19" i="45"/>
  <c r="AK19" i="45" s="1"/>
  <c r="AJ21" i="45"/>
  <c r="AK21" i="45" s="1"/>
  <c r="AH37" i="45"/>
  <c r="AJ10" i="45"/>
  <c r="AK10" i="45" s="1"/>
  <c r="AJ8" i="45"/>
  <c r="AK8" i="45" s="1"/>
  <c r="AJ5" i="45"/>
  <c r="AK5" i="45" s="1"/>
  <c r="AE37" i="45"/>
  <c r="AI70" i="45"/>
  <c r="AI72" i="45" s="1"/>
  <c r="AJ91" i="45" s="1"/>
  <c r="AK91" i="45" s="1"/>
  <c r="AH91" i="45" s="1"/>
  <c r="AJ82" i="45"/>
  <c r="AE82" i="45" s="1"/>
  <c r="AJ85" i="45"/>
  <c r="AE85" i="45" s="1"/>
  <c r="AH109" i="45"/>
  <c r="U39" i="45" s="1"/>
  <c r="T96" i="46"/>
  <c r="K121" i="46" s="1"/>
  <c r="I130" i="46" s="1"/>
  <c r="U38" i="45"/>
  <c r="U40" i="45"/>
  <c r="G16" i="41"/>
  <c r="G15" i="41"/>
  <c r="A16" i="41"/>
  <c r="Q63" i="41" s="1"/>
  <c r="A63" i="41" s="1"/>
  <c r="A15" i="41"/>
  <c r="Q62" i="41" s="1"/>
  <c r="A62" i="41" s="1"/>
  <c r="D107" i="29"/>
  <c r="G106" i="29"/>
  <c r="A35" i="41"/>
  <c r="Q79" i="41" s="1"/>
  <c r="A79" i="41" s="1"/>
  <c r="Q37" i="41"/>
  <c r="D36" i="41"/>
  <c r="A36" i="41"/>
  <c r="Q80" i="41" s="1"/>
  <c r="A80" i="41" s="1"/>
  <c r="G14" i="41"/>
  <c r="H132" i="46" l="1"/>
  <c r="H130" i="46"/>
  <c r="AI63" i="45"/>
  <c r="M130" i="46"/>
  <c r="H131" i="46"/>
  <c r="K125" i="46"/>
  <c r="AK37" i="45"/>
  <c r="AK65" i="45" s="1"/>
  <c r="AD72" i="45"/>
  <c r="AK42" i="45"/>
  <c r="AE101" i="45" s="1"/>
  <c r="AK41" i="45"/>
  <c r="Z90" i="46"/>
  <c r="U32" i="45"/>
  <c r="AJ83" i="45"/>
  <c r="AK83" i="45" s="1"/>
  <c r="AH83" i="45" s="1"/>
  <c r="AH114" i="45" s="1"/>
  <c r="AJ93" i="45"/>
  <c r="AK93" i="45" s="1"/>
  <c r="AH93" i="45" s="1"/>
  <c r="AH118" i="45" s="1"/>
  <c r="U68" i="45" s="1"/>
  <c r="A37" i="41"/>
  <c r="Q81" i="41" s="1"/>
  <c r="A81" i="41" s="1"/>
  <c r="H106" i="29"/>
  <c r="M106" i="29" s="1"/>
  <c r="G98" i="41"/>
  <c r="E107" i="29"/>
  <c r="D108" i="29" s="1"/>
  <c r="B128" i="46" l="1"/>
  <c r="K126" i="46"/>
  <c r="Z91" i="46"/>
  <c r="Y117" i="46" s="1"/>
  <c r="AI65" i="45"/>
  <c r="AI67" i="45" s="1"/>
  <c r="AJ88" i="45" s="1"/>
  <c r="AE88" i="45" s="1"/>
  <c r="AJ84" i="45"/>
  <c r="AE84" i="45" s="1"/>
  <c r="AH117" i="45"/>
  <c r="AH101" i="45"/>
  <c r="U20" i="45" s="1"/>
  <c r="AF153" i="45"/>
  <c r="AE153" i="45" s="1"/>
  <c r="AF154" i="45"/>
  <c r="AE154" i="45" s="1"/>
  <c r="AF150" i="45"/>
  <c r="AE150" i="45" s="1"/>
  <c r="AF146" i="45"/>
  <c r="AE146" i="45" s="1"/>
  <c r="AF142" i="45"/>
  <c r="AE142" i="45" s="1"/>
  <c r="AF138" i="45"/>
  <c r="AE138" i="45" s="1"/>
  <c r="AF134" i="45"/>
  <c r="AE134" i="45" s="1"/>
  <c r="AF130" i="45"/>
  <c r="AE130" i="45" s="1"/>
  <c r="AF126" i="45"/>
  <c r="AE126" i="45" s="1"/>
  <c r="AF129" i="45"/>
  <c r="AE129" i="45" s="1"/>
  <c r="AF151" i="45"/>
  <c r="AE151" i="45" s="1"/>
  <c r="AF147" i="45"/>
  <c r="AE147" i="45" s="1"/>
  <c r="AF143" i="45"/>
  <c r="AE143" i="45" s="1"/>
  <c r="AF139" i="45"/>
  <c r="AE139" i="45" s="1"/>
  <c r="AF135" i="45"/>
  <c r="AE135" i="45" s="1"/>
  <c r="AF131" i="45"/>
  <c r="AE131" i="45" s="1"/>
  <c r="AF127" i="45"/>
  <c r="AE127" i="45" s="1"/>
  <c r="AF123" i="45"/>
  <c r="AE123" i="45" s="1"/>
  <c r="AF149" i="45"/>
  <c r="AE149" i="45" s="1"/>
  <c r="AF133" i="45"/>
  <c r="AE133" i="45" s="1"/>
  <c r="AF152" i="45"/>
  <c r="AE152" i="45" s="1"/>
  <c r="AF148" i="45"/>
  <c r="AE148" i="45" s="1"/>
  <c r="AF144" i="45"/>
  <c r="AE144" i="45" s="1"/>
  <c r="AF140" i="45"/>
  <c r="AE140" i="45" s="1"/>
  <c r="AF136" i="45"/>
  <c r="AE136" i="45" s="1"/>
  <c r="AF132" i="45"/>
  <c r="AE132" i="45" s="1"/>
  <c r="AF128" i="45"/>
  <c r="AE128" i="45" s="1"/>
  <c r="AF124" i="45"/>
  <c r="AE124" i="45" s="1"/>
  <c r="AF145" i="45"/>
  <c r="AE145" i="45" s="1"/>
  <c r="AF141" i="45"/>
  <c r="AE141" i="45" s="1"/>
  <c r="AF137" i="45"/>
  <c r="AE137" i="45" s="1"/>
  <c r="AF125" i="45"/>
  <c r="AE125" i="45" s="1"/>
  <c r="AF122" i="45"/>
  <c r="AE122" i="45" s="1"/>
  <c r="V52" i="45"/>
  <c r="U52" i="45"/>
  <c r="V68" i="45"/>
  <c r="AE83" i="45"/>
  <c r="AE114" i="45" s="1"/>
  <c r="U51" i="45" s="1"/>
  <c r="AH115" i="45"/>
  <c r="AE93" i="45"/>
  <c r="U19" i="45"/>
  <c r="AE86" i="45"/>
  <c r="AE115" i="45" s="1"/>
  <c r="U55" i="45" s="1"/>
  <c r="AE100" i="45"/>
  <c r="E108" i="29"/>
  <c r="D109" i="29" s="1"/>
  <c r="G107" i="29"/>
  <c r="D10" i="29"/>
  <c r="H98" i="41"/>
  <c r="M98" i="41" s="1"/>
  <c r="AK88" i="45" l="1"/>
  <c r="E40" i="46"/>
  <c r="C137" i="46" s="1"/>
  <c r="Z121" i="46"/>
  <c r="Z122" i="46"/>
  <c r="Z119" i="46"/>
  <c r="Z120" i="46"/>
  <c r="Z117" i="46"/>
  <c r="Z118" i="46"/>
  <c r="U64" i="45"/>
  <c r="V64" i="45"/>
  <c r="AD140" i="45"/>
  <c r="AC140" i="45" s="1"/>
  <c r="AD124" i="45"/>
  <c r="AC124" i="45" s="1"/>
  <c r="AD153" i="45"/>
  <c r="AC153" i="45" s="1"/>
  <c r="AD149" i="45"/>
  <c r="AC149" i="45" s="1"/>
  <c r="AD145" i="45"/>
  <c r="AC145" i="45" s="1"/>
  <c r="AD141" i="45"/>
  <c r="AC141" i="45" s="1"/>
  <c r="AD137" i="45"/>
  <c r="AC137" i="45" s="1"/>
  <c r="AD133" i="45"/>
  <c r="AC133" i="45" s="1"/>
  <c r="AD129" i="45"/>
  <c r="AC129" i="45" s="1"/>
  <c r="AD125" i="45"/>
  <c r="AC125" i="45" s="1"/>
  <c r="AD128" i="45"/>
  <c r="AC128" i="45" s="1"/>
  <c r="AD144" i="45"/>
  <c r="AC144" i="45" s="1"/>
  <c r="AD136" i="45"/>
  <c r="AC136" i="45" s="1"/>
  <c r="AD154" i="45"/>
  <c r="AC154" i="45" s="1"/>
  <c r="AD150" i="45"/>
  <c r="AC150" i="45" s="1"/>
  <c r="AD146" i="45"/>
  <c r="AC146" i="45" s="1"/>
  <c r="AD142" i="45"/>
  <c r="AC142" i="45" s="1"/>
  <c r="AD138" i="45"/>
  <c r="AC138" i="45" s="1"/>
  <c r="AD134" i="45"/>
  <c r="AC134" i="45" s="1"/>
  <c r="AD130" i="45"/>
  <c r="AC130" i="45" s="1"/>
  <c r="AD126" i="45"/>
  <c r="AC126" i="45" s="1"/>
  <c r="AD151" i="45"/>
  <c r="AC151" i="45" s="1"/>
  <c r="AD147" i="45"/>
  <c r="AC147" i="45" s="1"/>
  <c r="AD143" i="45"/>
  <c r="AC143" i="45" s="1"/>
  <c r="AD139" i="45"/>
  <c r="AC139" i="45" s="1"/>
  <c r="AD135" i="45"/>
  <c r="AC135" i="45" s="1"/>
  <c r="AD131" i="45"/>
  <c r="AC131" i="45" s="1"/>
  <c r="AD127" i="45"/>
  <c r="AC127" i="45" s="1"/>
  <c r="AD123" i="45"/>
  <c r="AC123" i="45" s="1"/>
  <c r="AD152" i="45"/>
  <c r="AC152" i="45" s="1"/>
  <c r="AD148" i="45"/>
  <c r="AC148" i="45" s="1"/>
  <c r="AD132" i="45"/>
  <c r="AC132" i="45" s="1"/>
  <c r="U17" i="45"/>
  <c r="AD122" i="45"/>
  <c r="AC122" i="45" s="1"/>
  <c r="AH100" i="45"/>
  <c r="U18" i="45" s="1"/>
  <c r="V56" i="45"/>
  <c r="U56" i="45"/>
  <c r="AE118" i="45"/>
  <c r="U67" i="45" s="1"/>
  <c r="AH116" i="45"/>
  <c r="AE91" i="45"/>
  <c r="AE117" i="45" s="1"/>
  <c r="U63" i="45" s="1"/>
  <c r="AE87" i="45"/>
  <c r="AE116" i="45" s="1"/>
  <c r="U59" i="45" s="1"/>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U60" i="45"/>
  <c r="V60" i="45"/>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<sst xmlns="http://schemas.openxmlformats.org/spreadsheetml/2006/main" count="3792" uniqueCount="2596">
  <si>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</si>
  <si>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</si>
  <si>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</si>
  <si>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</si>
  <si>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</si>
  <si>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</si>
  <si>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</si>
  <si>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</si>
  <si>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</si>
  <si>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</si>
  <si>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</si>
  <si>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</si>
  <si>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</si>
  <si>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</si>
  <si>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</si>
  <si>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</si>
  <si>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</si>
  <si>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</si>
  <si>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</si>
  <si>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</si>
  <si>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</si>
  <si>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</si>
  <si>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</si>
  <si>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</si>
  <si>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</si>
  <si>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</si>
  <si>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</si>
  <si>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</si>
  <si>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</si>
  <si>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</si>
  <si>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</si>
  <si>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</si>
  <si>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</si>
  <si>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</si>
  <si>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</si>
  <si>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</si>
  <si>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</si>
  <si>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</si>
  <si>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</si>
  <si>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</si>
  <si>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</si>
  <si>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</si>
  <si>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</si>
  <si>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</si>
  <si>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</si>
  <si>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</si>
  <si>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</si>
  <si>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</si>
  <si>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</si>
  <si>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</si>
  <si>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</si>
  <si>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</si>
  <si>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</si>
  <si>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</si>
  <si>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</si>
  <si>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</si>
  <si>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</si>
  <si>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</si>
  <si>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</si>
  <si>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</si>
  <si>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</si>
  <si>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</si>
  <si>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</si>
  <si>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</si>
  <si>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</si>
  <si>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</si>
  <si>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</si>
  <si>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</si>
  <si>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</si>
  <si>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</si>
  <si>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</si>
  <si>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</si>
  <si>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</si>
  <si>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</si>
  <si>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</si>
  <si>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</si>
  <si>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</si>
  <si>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</si>
  <si>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</si>
  <si>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</si>
  <si>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</si>
  <si>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</si>
  <si>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</si>
  <si>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</si>
  <si>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</si>
  <si>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</si>
  <si>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</si>
  <si>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Totaal aantal doelpunten</t>
  </si>
  <si>
    <t>Totaal aantal gele kaarten</t>
  </si>
  <si>
    <t>Totaal aantal rode kaarten</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</si>
  <si>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</si>
  <si>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</si>
  <si>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</si>
  <si>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</si>
  <si>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</si>
  <si>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</si>
  <si>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</si>
  <si>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</si>
  <si>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</si>
  <si>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</si>
  <si>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</si>
  <si>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</si>
  <si>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</si>
  <si>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</si>
  <si>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</si>
  <si>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</si>
  <si>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</si>
  <si>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</si>
  <si>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</si>
  <si>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</si>
  <si>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</si>
  <si>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</si>
  <si>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</si>
  <si>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</si>
  <si>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</si>
  <si>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</si>
  <si>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</si>
  <si>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</si>
  <si>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</si>
  <si>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</si>
  <si>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</si>
  <si>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</si>
  <si>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</si>
  <si>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</si>
  <si>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</si>
  <si>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</si>
  <si>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</si>
  <si>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</si>
  <si>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</si>
  <si>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</si>
  <si>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</si>
  <si>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</si>
  <si>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</si>
  <si>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</si>
  <si>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</si>
  <si>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</si>
  <si>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</si>
  <si>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</si>
  <si>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</si>
  <si>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</si>
  <si>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</si>
  <si>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</si>
  <si>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</si>
  <si>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</si>
  <si>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</si>
  <si>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</si>
  <si>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</si>
  <si>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</si>
  <si>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</si>
  <si>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</si>
  <si>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</si>
  <si>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</si>
  <si>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</si>
  <si>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</si>
  <si>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</si>
  <si>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</si>
  <si>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</si>
  <si>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</si>
  <si>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</si>
  <si>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</si>
  <si>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</si>
  <si>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</si>
  <si>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</si>
  <si>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</si>
  <si>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</si>
  <si>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</si>
  <si>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</si>
  <si>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</si>
  <si>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</si>
  <si>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</si>
  <si>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</si>
  <si>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</si>
  <si>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</si>
  <si>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</si>
  <si>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</si>
  <si>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</si>
  <si>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</si>
  <si>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</si>
  <si>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</si>
  <si>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</si>
  <si>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</si>
  <si>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</si>
  <si>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</si>
  <si>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</si>
  <si>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</si>
  <si>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</si>
  <si>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</si>
  <si>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</si>
  <si>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</si>
  <si>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</si>
  <si>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</si>
  <si>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</si>
  <si>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</si>
  <si>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</si>
  <si>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</si>
  <si>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</si>
  <si>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</si>
  <si>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</si>
  <si>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</si>
  <si>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</si>
  <si>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</si>
  <si>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</si>
  <si>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</si>
  <si>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</si>
  <si>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</si>
  <si>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</si>
  <si>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</si>
  <si>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</si>
  <si>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</si>
  <si>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</si>
  <si>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</si>
  <si>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</si>
  <si>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</si>
  <si>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</si>
  <si>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</si>
  <si>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</si>
  <si>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</si>
  <si>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</si>
  <si>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</si>
  <si>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</si>
  <si>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</si>
  <si>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</si>
  <si>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</si>
  <si>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</si>
  <si>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</si>
  <si>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</si>
  <si>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</si>
  <si>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</si>
  <si>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</si>
  <si>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</si>
  <si>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</si>
  <si>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</si>
  <si>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</si>
  <si>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</si>
  <si>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</si>
  <si>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</si>
  <si>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</si>
  <si>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</si>
  <si>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</si>
  <si>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</si>
  <si>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</si>
  <si>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</si>
  <si>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</si>
  <si>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</si>
  <si>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</si>
  <si>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</si>
  <si>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</si>
  <si>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</si>
  <si>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</si>
  <si>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</si>
  <si>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</si>
  <si>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</si>
  <si>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</si>
  <si>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</si>
  <si>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</si>
  <si>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</si>
  <si>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</si>
  <si>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</si>
  <si>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</si>
  <si>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</si>
  <si>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</si>
  <si>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</si>
  <si>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</si>
  <si>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</si>
  <si>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</si>
  <si>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</si>
  <si>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</si>
  <si>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</si>
  <si>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</si>
  <si>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</si>
  <si>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</si>
  <si>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</si>
  <si>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</si>
  <si>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</si>
  <si>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</si>
  <si>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</si>
  <si>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</si>
  <si>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</si>
  <si>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</si>
  <si>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</si>
  <si>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</si>
  <si>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</si>
  <si>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</si>
  <si>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</si>
  <si>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</si>
  <si>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</si>
  <si>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</si>
  <si>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</si>
  <si>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</si>
  <si>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</si>
  <si>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</si>
  <si>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</si>
  <si>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</si>
  <si>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</si>
  <si>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</si>
  <si>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</si>
  <si>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</si>
  <si>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</si>
  <si>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</si>
  <si>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</si>
  <si>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DEELNAMECODE BONUSVRAGEN</t>
  </si>
  <si>
    <t>Aantal "FOUT"</t>
  </si>
  <si>
    <t>Aantal "GOED"</t>
  </si>
  <si>
    <t>Reglement aanwezig? (0 = Nee, 1 = Ja) --&gt;</t>
  </si>
  <si>
    <t>Punten voor goed voorspellen van de benaderingsvragen</t>
  </si>
  <si>
    <t>Punten voor goed voorspellen van de stellingen</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</si>
  <si>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</si>
  <si>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</si>
  <si>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</si>
  <si>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</si>
  <si>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</si>
  <si>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</si>
  <si>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</si>
  <si>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</si>
  <si>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</si>
  <si>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</si>
  <si>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</si>
  <si>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</si>
  <si>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DOELPUNTEN +</t>
  </si>
  <si>
    <t>DOELPUNTEN -</t>
  </si>
  <si>
    <t>GROEP</t>
  </si>
  <si>
    <t>FINALE</t>
  </si>
  <si>
    <t>TOTAAL</t>
  </si>
  <si>
    <t>BRONGEGEVENS VOOR BONUSVRAGEN</t>
  </si>
  <si>
    <t>A-B</t>
  </si>
  <si>
    <t>C-D</t>
  </si>
  <si>
    <t>E-F</t>
  </si>
  <si>
    <t>G-H</t>
  </si>
  <si>
    <t>winst</t>
  </si>
  <si>
    <t>TF</t>
  </si>
  <si>
    <t xml:space="preserve"> </t>
  </si>
  <si>
    <t>WINST/VERLIES</t>
  </si>
  <si>
    <t>GELIJKSPEL</t>
  </si>
  <si>
    <t>WANNEER LANDEN BEKEND ZIJN DEZE OP ALFABETISCHE VOLGORDE SORTEREN</t>
  </si>
  <si>
    <t>Aantal "LEEG</t>
  </si>
  <si>
    <t>BLAD</t>
  </si>
  <si>
    <t xml:space="preserve">ALLES VOORSPELD </t>
  </si>
  <si>
    <t>MEESTE DOELPUNTEN VOOR</t>
  </si>
  <si>
    <t>MEESTE DOELPUNTEN TEGEN</t>
  </si>
  <si>
    <t>TOTAAL AANTAL DOELPUNTEN</t>
  </si>
  <si>
    <t>AFK.</t>
  </si>
  <si>
    <t>1.5</t>
  </si>
  <si>
    <t>Team met de meeste kaarten</t>
  </si>
  <si>
    <t>1.1</t>
  </si>
  <si>
    <t>1.2</t>
  </si>
  <si>
    <t>1.3</t>
  </si>
  <si>
    <t>1.4</t>
  </si>
  <si>
    <t>Meeste doelpunten voor</t>
  </si>
  <si>
    <t>Meeste doelpunten tegen</t>
  </si>
  <si>
    <t>2.1</t>
  </si>
  <si>
    <t>2.2</t>
  </si>
  <si>
    <t>2.3</t>
  </si>
  <si>
    <t>2.4</t>
  </si>
  <si>
    <t>2.5</t>
  </si>
  <si>
    <t>Totaal aantal keer gelijkspel</t>
  </si>
  <si>
    <t>Totaal aantal keer winst</t>
  </si>
  <si>
    <t>WEERGAVE SUGGESTIES</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</si>
  <si>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</si>
  <si>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</si>
  <si>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</si>
  <si>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</si>
  <si>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</si>
  <si>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</si>
  <si>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</si>
  <si>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</si>
  <si>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</si>
  <si>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</si>
  <si>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</si>
  <si>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</si>
  <si>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</si>
  <si>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</si>
  <si>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</si>
  <si>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</si>
  <si>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</si>
  <si>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</si>
  <si>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</si>
  <si>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</si>
  <si>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</si>
  <si>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</si>
  <si>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</si>
  <si>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</si>
  <si>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</si>
  <si>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</si>
  <si>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</si>
  <si>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</si>
  <si>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</si>
  <si>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</si>
  <si>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</si>
  <si>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</si>
  <si>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</si>
  <si>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</si>
  <si>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</si>
  <si>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</si>
  <si>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</si>
  <si>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</si>
  <si>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</si>
  <si>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</si>
  <si>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</si>
  <si>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</si>
  <si>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</si>
  <si>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</si>
  <si>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</si>
  <si>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</si>
  <si>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</si>
  <si>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</si>
  <si>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</si>
  <si>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</si>
  <si>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</si>
  <si>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</si>
  <si>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</si>
  <si>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</si>
  <si>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</si>
  <si>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</si>
  <si>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</si>
  <si>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</si>
  <si>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</si>
  <si>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</si>
  <si>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</si>
  <si>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</si>
  <si>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</si>
  <si>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</si>
  <si>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</si>
  <si>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</si>
  <si>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</si>
  <si>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</si>
  <si>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</si>
  <si>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Topscorer toernooi</t>
  </si>
  <si>
    <t>Topscorer BE/NL-elftal</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</si>
  <si>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</si>
  <si>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</si>
  <si>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</si>
  <si>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</si>
  <si>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</si>
  <si>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</si>
  <si>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</si>
  <si>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</si>
  <si>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</si>
  <si>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</si>
  <si>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</si>
  <si>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</si>
  <si>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</si>
  <si>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</si>
  <si>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</si>
  <si>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</si>
  <si>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</si>
  <si>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</si>
  <si>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</si>
  <si>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</si>
  <si>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</si>
  <si>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</si>
  <si>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</si>
  <si>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</si>
  <si>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</si>
  <si>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</si>
  <si>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</si>
  <si>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</si>
  <si>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</si>
  <si>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Punten voor goed voorspellen van de openvragen / 2e vraag</t>
  </si>
  <si>
    <t>Beoordelingswijze / Spreiding bij de benaderingsvragen</t>
  </si>
  <si>
    <t>STELLINGEN</t>
  </si>
  <si>
    <t>stelling 5</t>
  </si>
  <si>
    <t>stelling 4</t>
  </si>
  <si>
    <t>stelling 1</t>
  </si>
  <si>
    <t>stelling 2</t>
  </si>
  <si>
    <t>stelling 3</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</si>
  <si>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</si>
  <si>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</si>
  <si>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</si>
  <si>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</si>
  <si>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</si>
  <si>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</si>
  <si>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</si>
  <si>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</si>
  <si>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</si>
  <si>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</si>
  <si>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</si>
  <si>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gelijk</t>
  </si>
  <si>
    <t>NIET VAN TOEPASSING I.V.M. ONTBREKEN GEGEVENS BIJ VOORSPELLING (GEEN UITSLAG)</t>
  </si>
  <si>
    <t>STELLINGEN CONTROLEREN OP UITKOMST OP BASIS VAN VOORSPELLING</t>
  </si>
  <si>
    <t>Brongegegevens</t>
  </si>
  <si>
    <t>finale</t>
  </si>
  <si>
    <t>aantal wedstrijden winst/verlies</t>
  </si>
  <si>
    <t>aantal wedstrijden gelijkspel</t>
  </si>
  <si>
    <t>DE OPENVRAGEN</t>
  </si>
  <si>
    <t>DE BENADERINGSVRAGEN</t>
  </si>
  <si>
    <t>DE STELLINGEN</t>
  </si>
  <si>
    <t>3.10</t>
  </si>
  <si>
    <t>bronnen</t>
  </si>
  <si>
    <t>WEERGAVE DE STELLINGEN</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</si>
  <si>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</si>
  <si>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</si>
  <si>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</si>
  <si>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</si>
  <si>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</si>
  <si>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</si>
  <si>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</si>
  <si>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</si>
  <si>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</si>
  <si>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</si>
  <si>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</si>
  <si>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</si>
  <si>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Eindstand finalewedstrijden na 90min of na verlenging</t>
  </si>
  <si>
    <t>3.01</t>
  </si>
  <si>
    <t>3.02</t>
  </si>
  <si>
    <t>3.03</t>
  </si>
  <si>
    <t>3.04</t>
  </si>
  <si>
    <t>3.05</t>
  </si>
  <si>
    <t>3.06</t>
  </si>
  <si>
    <t>3.07</t>
  </si>
  <si>
    <t>3.08</t>
  </si>
  <si>
    <t>3.09</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</si>
  <si>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</si>
  <si>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</si>
  <si>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</si>
  <si>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</si>
  <si>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</si>
  <si>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</si>
  <si>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</si>
  <si>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</si>
  <si>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</si>
  <si>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</si>
  <si>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</si>
  <si>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</si>
  <si>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</si>
  <si>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</si>
  <si>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</si>
  <si>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</si>
  <si>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</si>
  <si>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</si>
  <si>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</si>
  <si>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</si>
  <si>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</si>
  <si>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</si>
  <si>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</si>
  <si>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</si>
  <si>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</si>
  <si>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</si>
  <si>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</si>
  <si>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</si>
  <si>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</si>
  <si>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</si>
  <si>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</si>
  <si>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</si>
  <si>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</si>
  <si>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</si>
  <si>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</si>
  <si>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</si>
  <si>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</si>
  <si>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</si>
  <si>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</si>
  <si>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</si>
  <si>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</si>
  <si>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</si>
  <si>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</si>
  <si>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</si>
  <si>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</si>
  <si>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</si>
  <si>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</si>
  <si>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</si>
  <si>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</si>
  <si>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</si>
  <si>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</si>
  <si>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</si>
  <si>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</si>
  <si>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</si>
  <si>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</si>
  <si>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</si>
  <si>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</si>
  <si>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</si>
  <si>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</si>
  <si>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</si>
  <si>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</si>
  <si>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</si>
  <si>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</si>
  <si>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</si>
  <si>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</si>
  <si>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</si>
  <si>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</si>
  <si>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</si>
  <si>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</si>
  <si>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</si>
  <si>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</si>
  <si>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</si>
  <si>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</si>
  <si>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</si>
  <si>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</si>
  <si>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</si>
  <si>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</si>
  <si>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</si>
  <si>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</si>
  <si>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</si>
  <si>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</si>
  <si>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</si>
  <si>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</si>
  <si>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</si>
  <si>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</si>
  <si>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</si>
  <si>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</si>
  <si>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</si>
  <si>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</si>
  <si>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</si>
  <si>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</si>
  <si>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</si>
  <si>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</si>
  <si>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</si>
  <si>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</si>
  <si>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</si>
  <si>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</si>
  <si>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</si>
  <si>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</si>
  <si>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</si>
  <si>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</si>
  <si>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</si>
  <si>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</si>
  <si>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</si>
  <si>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</si>
  <si>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</si>
  <si>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</si>
  <si>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</si>
  <si>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</si>
  <si>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</si>
  <si>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</si>
  <si>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</si>
  <si>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</si>
  <si>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</si>
  <si>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</si>
  <si>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</si>
  <si>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</si>
  <si>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</si>
  <si>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</si>
  <si>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</si>
  <si>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</si>
  <si>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</si>
  <si>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</si>
  <si>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</si>
  <si>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</si>
  <si>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</si>
  <si>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</si>
  <si>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</si>
  <si>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</si>
  <si>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</si>
  <si>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</si>
  <si>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</si>
  <si>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</si>
  <si>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</si>
  <si>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</si>
  <si>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</si>
  <si>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</si>
  <si>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</si>
  <si>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</si>
  <si>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</si>
  <si>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</si>
  <si>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</si>
  <si>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</si>
  <si>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</si>
  <si>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</si>
  <si>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</si>
  <si>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</si>
  <si>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</si>
  <si>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</si>
  <si>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</si>
  <si>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</si>
  <si>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</si>
  <si>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</si>
  <si>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</si>
  <si>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</si>
  <si>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</si>
  <si>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</si>
  <si>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</si>
  <si>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</si>
  <si>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</si>
  <si>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</si>
  <si>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</si>
  <si>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</si>
  <si>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</si>
  <si>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</si>
  <si>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</si>
  <si>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</si>
  <si>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</si>
  <si>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</si>
  <si>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</si>
  <si>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</si>
  <si>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</si>
  <si>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</si>
  <si>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</si>
  <si>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</si>
  <si>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</si>
  <si>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</si>
  <si>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</si>
  <si>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</si>
  <si>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</si>
  <si>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</si>
  <si>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</si>
  <si>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</si>
  <si>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</si>
  <si>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</si>
  <si>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</si>
  <si>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</si>
  <si>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</si>
  <si>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</si>
  <si>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</si>
  <si>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</si>
  <si>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</si>
  <si>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</si>
  <si>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</si>
  <si>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</si>
  <si>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</si>
  <si>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</si>
  <si>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</si>
  <si>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</si>
  <si>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</si>
  <si>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</si>
  <si>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</si>
  <si>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</si>
  <si>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</si>
  <si>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</si>
  <si>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</si>
  <si>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</si>
  <si>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</si>
  <si>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</si>
  <si>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</si>
  <si>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</si>
  <si>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</si>
  <si>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</si>
  <si>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</si>
  <si>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</si>
  <si>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</si>
  <si>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</si>
  <si>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</si>
  <si>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</si>
  <si>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</si>
  <si>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</si>
  <si>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</si>
  <si>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</si>
  <si>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</si>
  <si>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</si>
  <si>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</si>
  <si>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</si>
  <si>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</si>
  <si>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</si>
  <si>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</si>
  <si>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</si>
  <si>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</si>
  <si>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</si>
  <si>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</si>
  <si>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</si>
  <si>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</si>
  <si>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</si>
  <si>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</si>
  <si>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</si>
  <si>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</si>
  <si>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</si>
  <si>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</si>
  <si>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</si>
  <si>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</si>
  <si>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</si>
  <si>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</si>
  <si>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</si>
  <si>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</si>
  <si>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</si>
  <si>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</si>
  <si>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</si>
  <si>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</si>
  <si>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</si>
  <si>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</si>
  <si>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</si>
  <si>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</si>
  <si>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</si>
  <si>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</si>
  <si>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</si>
  <si>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</si>
  <si>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</si>
  <si>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</si>
  <si>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</si>
  <si>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</si>
  <si>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</si>
  <si>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</si>
  <si>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</si>
  <si>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</si>
  <si>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</si>
  <si>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</si>
  <si>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</si>
  <si>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</si>
  <si>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</si>
  <si>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</si>
  <si>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</si>
  <si>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</si>
  <si>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</si>
  <si>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</si>
  <si>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</si>
  <si>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</si>
  <si>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</si>
  <si>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</si>
  <si>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</si>
  <si>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</si>
  <si>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</si>
  <si>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</si>
  <si>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</si>
  <si>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</si>
  <si>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</si>
  <si>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</si>
  <si>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</si>
  <si>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</si>
  <si>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</si>
  <si>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</si>
  <si>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</si>
  <si>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</si>
  <si>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</si>
  <si>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</si>
  <si>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</si>
  <si>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</si>
  <si>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</si>
  <si>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</si>
  <si>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</si>
  <si>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</si>
  <si>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</si>
  <si>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</si>
  <si>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</si>
  <si>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</si>
  <si>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</si>
  <si>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</si>
  <si>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</si>
  <si>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</si>
  <si>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</si>
  <si>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</si>
  <si>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</si>
  <si>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</si>
  <si>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</si>
  <si>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</si>
  <si>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</si>
  <si>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</si>
  <si>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</si>
  <si>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</si>
  <si>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</si>
  <si>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</si>
  <si>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</si>
  <si>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</si>
  <si>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</si>
  <si>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</si>
  <si>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</si>
  <si>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</si>
  <si>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</si>
  <si>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</si>
  <si>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</si>
  <si>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</si>
  <si>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</si>
  <si>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</si>
  <si>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</si>
  <si>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</si>
  <si>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</si>
  <si>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</si>
  <si>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</si>
  <si>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</si>
  <si>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</si>
  <si>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</si>
  <si>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</si>
  <si>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</si>
  <si>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</si>
  <si>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</si>
  <si>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</si>
  <si>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</si>
  <si>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</si>
  <si>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</si>
  <si>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</si>
  <si>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</si>
  <si>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</si>
  <si>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</si>
  <si>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</si>
  <si>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</si>
  <si>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</si>
  <si>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</si>
  <si>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</si>
  <si>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</si>
  <si>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</si>
  <si>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</si>
  <si>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</si>
  <si>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</si>
  <si>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</si>
  <si>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</si>
  <si>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</si>
  <si>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</si>
  <si>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</si>
  <si>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</si>
  <si>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</si>
  <si>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</si>
  <si>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</si>
  <si>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</si>
  <si>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</si>
  <si>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</si>
  <si>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</si>
  <si>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</si>
  <si>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</si>
  <si>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</si>
  <si>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</si>
  <si>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</si>
  <si>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</si>
  <si>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</si>
  <si>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</si>
  <si>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</si>
  <si>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</si>
  <si>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</si>
  <si>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</si>
  <si>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</si>
  <si>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</si>
  <si>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</si>
  <si>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</si>
  <si>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</si>
  <si>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</si>
  <si>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</si>
  <si>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</si>
  <si>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</si>
  <si>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</si>
  <si>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</si>
  <si>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</si>
  <si>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</si>
  <si>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</si>
  <si>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</si>
  <si>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</si>
  <si>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</si>
  <si>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</si>
  <si>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</si>
  <si>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</si>
  <si>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</si>
  <si>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</si>
  <si>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</si>
  <si>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</si>
  <si>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</si>
  <si>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</si>
  <si>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</si>
  <si>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</si>
  <si>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</si>
  <si>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</si>
  <si>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</si>
  <si>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</si>
  <si>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</si>
  <si>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</si>
  <si>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</si>
  <si>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</si>
  <si>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</si>
  <si>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</si>
  <si>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</si>
  <si>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</si>
  <si>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</si>
  <si>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</si>
  <si>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</si>
  <si>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</si>
  <si>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</si>
  <si>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</si>
  <si>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</si>
  <si>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</si>
  <si>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</si>
  <si>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</si>
  <si>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</si>
  <si>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</si>
  <si>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</si>
  <si>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</si>
  <si>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</si>
  <si>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</si>
  <si>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</si>
  <si>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</si>
  <si>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</si>
  <si>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</si>
  <si>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</si>
  <si>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</si>
  <si>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</si>
  <si>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</si>
  <si>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</si>
  <si>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</si>
  <si>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</si>
  <si>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</si>
  <si>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</si>
  <si>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</si>
  <si>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</si>
  <si>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</si>
  <si>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</si>
  <si>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</si>
  <si>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</si>
  <si>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</si>
  <si>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</si>
  <si>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</si>
  <si>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</si>
  <si>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</si>
  <si>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</si>
  <si>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</si>
  <si>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</si>
  <si>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</si>
  <si>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</si>
  <si>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</si>
  <si>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</si>
  <si>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</si>
  <si>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</si>
  <si>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</si>
  <si>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</si>
  <si>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</si>
  <si>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</si>
  <si>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</si>
  <si>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</si>
  <si>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</si>
  <si>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</si>
  <si>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</si>
  <si>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</si>
  <si>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</si>
  <si>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</si>
  <si>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</si>
  <si>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</si>
  <si>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</si>
  <si>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</si>
  <si>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</si>
  <si>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</si>
  <si>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</si>
  <si>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</si>
  <si>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</si>
  <si>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</si>
  <si>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</si>
  <si>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</si>
  <si>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</si>
  <si>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</si>
  <si>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</si>
  <si>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</si>
  <si>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</si>
  <si>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</si>
  <si>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</si>
  <si>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</si>
  <si>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</si>
  <si>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</si>
  <si>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</si>
  <si>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</si>
  <si>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</si>
  <si>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</si>
  <si>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</si>
  <si>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</si>
  <si>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</si>
  <si>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</si>
  <si>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</si>
  <si>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</si>
  <si>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</si>
  <si>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</si>
  <si>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</si>
  <si>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</si>
  <si>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</si>
  <si>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</si>
  <si>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</si>
  <si>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</si>
  <si>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</si>
  <si>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</si>
  <si>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</si>
  <si>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</si>
  <si>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</si>
  <si>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</si>
  <si>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</si>
  <si>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</si>
  <si>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</si>
  <si>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</si>
  <si>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</si>
  <si>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</si>
  <si>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</si>
  <si>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</si>
  <si>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</si>
  <si>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</si>
  <si>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</si>
  <si>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</si>
  <si>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</si>
  <si>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</si>
  <si>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</si>
  <si>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</si>
  <si>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</si>
  <si>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</si>
  <si>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</si>
  <si>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</si>
  <si>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</si>
  <si>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</si>
  <si>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</si>
  <si>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</si>
  <si>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</si>
  <si>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</si>
  <si>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</si>
  <si>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</si>
  <si>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</si>
  <si>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</si>
  <si>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</si>
  <si>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</si>
  <si>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</si>
  <si>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</si>
  <si>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</si>
  <si>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</si>
  <si>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</si>
  <si>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</si>
  <si>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</si>
  <si>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</si>
  <si>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</si>
  <si>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</si>
  <si>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</si>
  <si>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</si>
  <si>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</si>
  <si>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</si>
  <si>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</si>
  <si>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</si>
  <si>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</si>
  <si>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</si>
  <si>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</si>
  <si>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</si>
  <si>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</si>
  <si>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</si>
  <si>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</si>
  <si>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</si>
  <si>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suggestie</t>
  </si>
  <si>
    <t>code</t>
  </si>
  <si>
    <t>menu</t>
  </si>
  <si>
    <t>landen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</si>
  <si>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</si>
  <si>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</si>
  <si>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</si>
  <si>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</si>
  <si>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</si>
  <si>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</si>
  <si>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</si>
  <si>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</si>
  <si>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3.11</t>
  </si>
  <si>
    <t>3.12</t>
  </si>
  <si>
    <t>3.13</t>
  </si>
  <si>
    <t>3.14</t>
  </si>
  <si>
    <t>3.15</t>
  </si>
  <si>
    <t>6 of meer finales gelijk</t>
  </si>
  <si>
    <t>winnaar wint alle finalewedstr.</t>
  </si>
  <si>
    <t>winnaar heeft beste doelsaldo</t>
  </si>
  <si>
    <t>topscorer speelt bij winnaar</t>
  </si>
  <si>
    <t>hattrick tijdens toernooi</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</si>
  <si>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</si>
  <si>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</si>
  <si>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</si>
  <si>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</si>
  <si>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</si>
  <si>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</si>
  <si>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</si>
  <si>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</si>
  <si>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</si>
  <si>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</si>
  <si>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</si>
  <si>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</si>
  <si>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</si>
  <si>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</si>
  <si>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</si>
  <si>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</si>
  <si>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</si>
  <si>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</si>
  <si>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wijkt af ten opzichte van F1e en F3e</t>
  </si>
  <si>
    <t>aanwezig/winst</t>
  </si>
  <si>
    <t>1/8 f</t>
  </si>
  <si>
    <t>1/4 f</t>
  </si>
  <si>
    <t>1/2 f</t>
  </si>
  <si>
    <t>eis winst minimaal :</t>
  </si>
  <si>
    <t>DOELSALDO</t>
  </si>
  <si>
    <t>OPENINGSVRAGEN / BENADERINGSVRAGEN</t>
  </si>
  <si>
    <t>Winnaar toernooi</t>
  </si>
  <si>
    <t>Beste doelsaldo</t>
  </si>
  <si>
    <t>Contole brongegevens voor stellingen</t>
  </si>
  <si>
    <t>STELLINGEN MET BETREKKING TOT DOELSALDO</t>
  </si>
  <si>
    <t>Voorspellingen compleet</t>
  </si>
  <si>
    <t>Eindstand - groepsfase</t>
  </si>
  <si>
    <t>Eindstand - finales</t>
  </si>
  <si>
    <t>WINNAAR</t>
  </si>
  <si>
    <t>BRONGEGEVENS VOOR SUGGESTIES (DOELPUNTEN)</t>
  </si>
  <si>
    <t>onvoldoende gegevens voor suggestie</t>
  </si>
  <si>
    <t>doelpunt</t>
  </si>
  <si>
    <t>doelpunten</t>
  </si>
  <si>
    <t>geen enkele keer gelijkspel voorspeld</t>
  </si>
  <si>
    <t>keer gelijkspel voorspeld</t>
  </si>
  <si>
    <t>keer winst/verlies voorspeld</t>
  </si>
  <si>
    <t>onvoldoende gegevens</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</si>
  <si>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</si>
  <si>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</si>
  <si>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</si>
  <si>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</si>
  <si>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</si>
  <si>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</si>
  <si>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</si>
  <si>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</si>
  <si>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</si>
  <si>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</si>
  <si>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</si>
  <si>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</si>
  <si>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</si>
  <si>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</si>
  <si>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</si>
  <si>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</si>
  <si>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</si>
  <si>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</si>
  <si>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</si>
  <si>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</si>
  <si>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</si>
  <si>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</si>
  <si>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</si>
  <si>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</si>
  <si>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</si>
  <si>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</si>
  <si>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</si>
  <si>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</si>
  <si>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</si>
  <si>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</si>
  <si>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</si>
  <si>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</si>
  <si>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</si>
  <si>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</si>
  <si>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</si>
  <si>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</si>
  <si>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</si>
  <si>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</si>
  <si>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</si>
  <si>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</si>
  <si>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</si>
  <si>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</si>
  <si>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</si>
  <si>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</si>
  <si>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</si>
  <si>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</si>
  <si>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</si>
  <si>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</si>
  <si>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</si>
  <si>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</si>
  <si>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</si>
  <si>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</si>
  <si>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</si>
  <si>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</si>
  <si>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</si>
  <si>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</si>
  <si>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</si>
  <si>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</si>
  <si>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</si>
  <si>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</si>
  <si>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</si>
  <si>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</si>
  <si>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</si>
  <si>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</si>
  <si>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</si>
  <si>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</si>
  <si>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</si>
  <si>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</si>
  <si>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</si>
  <si>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</si>
  <si>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</si>
  <si>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</si>
  <si>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</si>
  <si>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</si>
  <si>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</si>
  <si>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</si>
  <si>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</si>
  <si>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</si>
  <si>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</si>
  <si>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</si>
  <si>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</si>
  <si>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</si>
  <si>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</si>
  <si>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</si>
  <si>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</si>
  <si>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</si>
  <si>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</si>
  <si>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</si>
  <si>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</si>
  <si>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</si>
  <si>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</si>
  <si>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</si>
  <si>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</si>
  <si>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</si>
  <si>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</si>
  <si>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</si>
  <si>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</si>
  <si>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</si>
  <si>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</si>
  <si>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</si>
  <si>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</si>
  <si>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</si>
  <si>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</si>
  <si>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</si>
  <si>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</si>
  <si>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</si>
  <si>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</si>
  <si>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</si>
  <si>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</si>
  <si>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</si>
  <si>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</si>
  <si>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</si>
  <si>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</si>
  <si>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</si>
  <si>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</si>
  <si>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</si>
  <si>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</si>
  <si>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</si>
  <si>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</si>
  <si>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</si>
  <si>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</si>
  <si>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</si>
  <si>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</si>
  <si>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</si>
  <si>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</si>
  <si>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</si>
  <si>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</si>
  <si>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</si>
  <si>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</si>
  <si>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</si>
  <si>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</si>
  <si>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</si>
  <si>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</si>
  <si>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</si>
  <si>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</si>
  <si>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</si>
  <si>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</si>
  <si>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</si>
  <si>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</si>
  <si>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</si>
  <si>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</si>
  <si>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</si>
  <si>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</si>
  <si>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</si>
  <si>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</si>
  <si>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</si>
  <si>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</si>
  <si>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</si>
  <si>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</si>
  <si>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</si>
  <si>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</si>
  <si>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</si>
  <si>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</si>
  <si>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</si>
  <si>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</si>
  <si>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</si>
  <si>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</si>
  <si>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</si>
  <si>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</si>
  <si>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</si>
  <si>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</si>
  <si>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</si>
  <si>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</si>
  <si>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</si>
  <si>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</si>
  <si>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</si>
  <si>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</si>
  <si>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</si>
  <si>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</si>
  <si>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</si>
  <si>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</si>
  <si>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</si>
  <si>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</si>
  <si>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</si>
  <si>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</si>
  <si>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</si>
  <si>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</si>
  <si>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</si>
  <si>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</si>
  <si>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</si>
  <si>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</si>
  <si>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</si>
  <si>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</si>
  <si>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</si>
  <si>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</si>
  <si>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</si>
  <si>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</si>
  <si>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</si>
  <si>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</si>
  <si>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</si>
  <si>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</si>
  <si>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</si>
  <si>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</si>
  <si>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</si>
  <si>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</si>
  <si>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</si>
  <si>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</si>
  <si>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</si>
  <si>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</si>
  <si>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</si>
  <si>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</si>
  <si>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</si>
  <si>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</si>
  <si>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</si>
  <si>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</si>
  <si>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</si>
  <si>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</si>
  <si>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</si>
  <si>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</si>
  <si>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</si>
  <si>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</si>
  <si>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</si>
  <si>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</si>
  <si>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</si>
  <si>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</si>
  <si>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</si>
  <si>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</si>
  <si>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</si>
  <si>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</si>
  <si>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</si>
  <si>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</si>
  <si>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</si>
  <si>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</si>
  <si>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</si>
  <si>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</si>
  <si>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</si>
  <si>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</si>
  <si>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</si>
  <si>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</si>
  <si>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</si>
  <si>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</si>
  <si>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</si>
  <si>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</si>
  <si>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</si>
  <si>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</si>
  <si>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</si>
  <si>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</si>
  <si>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</si>
  <si>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</si>
  <si>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</si>
  <si>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</si>
  <si>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</si>
  <si>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</si>
  <si>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</si>
  <si>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</si>
  <si>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</si>
  <si>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</si>
  <si>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</si>
  <si>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</si>
  <si>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</si>
  <si>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</si>
  <si>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</si>
  <si>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</si>
  <si>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</si>
  <si>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</si>
  <si>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</si>
  <si>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</si>
  <si>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</si>
  <si>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</si>
  <si>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</si>
  <si>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</si>
  <si>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</si>
  <si>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</si>
  <si>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</si>
  <si>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</si>
  <si>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</si>
  <si>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</si>
  <si>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</si>
  <si>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</si>
  <si>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</si>
  <si>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</si>
  <si>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</si>
  <si>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</si>
  <si>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</si>
  <si>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</si>
  <si>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</si>
  <si>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</si>
  <si>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</si>
  <si>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</si>
  <si>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</si>
  <si>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</si>
  <si>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</si>
  <si>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</si>
  <si>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</si>
  <si>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</si>
  <si>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</si>
  <si>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</si>
  <si>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</si>
  <si>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</si>
  <si>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</si>
  <si>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</si>
  <si>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</si>
  <si>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</si>
  <si>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</si>
  <si>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</si>
  <si>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</si>
  <si>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</si>
  <si>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</si>
  <si>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</si>
  <si>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</si>
  <si>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</si>
  <si>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</si>
  <si>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</si>
  <si>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</si>
  <si>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</si>
  <si>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</si>
  <si>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</si>
  <si>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</si>
  <si>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</si>
  <si>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</si>
  <si>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</si>
  <si>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</si>
  <si>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</si>
  <si>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</si>
  <si>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</si>
  <si>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</si>
  <si>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</si>
  <si>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</si>
  <si>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</si>
  <si>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</si>
  <si>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</si>
  <si>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</si>
  <si>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</si>
  <si>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</si>
  <si>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</si>
  <si>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</si>
  <si>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</si>
  <si>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</si>
  <si>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</si>
  <si>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</si>
  <si>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</si>
  <si>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</si>
  <si>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</si>
  <si>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</si>
  <si>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</si>
  <si>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</si>
  <si>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</si>
  <si>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</si>
  <si>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</si>
  <si>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</si>
  <si>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</si>
  <si>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</si>
  <si>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</si>
  <si>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</si>
  <si>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</si>
  <si>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</si>
  <si>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</si>
  <si>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</si>
  <si>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</si>
  <si>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</si>
  <si>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</si>
  <si>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</si>
  <si>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</si>
  <si>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</si>
  <si>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</si>
  <si>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</si>
  <si>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</si>
  <si>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</si>
  <si>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</si>
  <si>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</si>
  <si>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</si>
  <si>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</si>
  <si>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</si>
  <si>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</si>
  <si>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</si>
  <si>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</si>
  <si>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</si>
  <si>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</si>
  <si>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</si>
  <si>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</si>
  <si>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</si>
  <si>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</si>
  <si>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</si>
  <si>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</si>
  <si>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</si>
  <si>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</si>
  <si>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</si>
  <si>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</si>
  <si>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</si>
  <si>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</si>
  <si>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</si>
  <si>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</si>
  <si>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</si>
  <si>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</si>
  <si>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</si>
  <si>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</si>
  <si>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</si>
  <si>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</si>
  <si>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</si>
  <si>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</si>
  <si>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</si>
  <si>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</si>
  <si>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</si>
  <si>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</si>
  <si>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</si>
  <si>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</si>
  <si>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</si>
  <si>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</si>
  <si>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</si>
  <si>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</si>
  <si>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</si>
  <si>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</si>
  <si>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</si>
  <si>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</si>
  <si>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</si>
  <si>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</si>
  <si>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</si>
  <si>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</si>
  <si>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</si>
  <si>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</si>
  <si>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</si>
  <si>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</si>
  <si>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</si>
  <si>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</si>
  <si>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</si>
  <si>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</si>
  <si>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</si>
  <si>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</si>
  <si>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</si>
  <si>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</si>
  <si>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</si>
  <si>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</si>
  <si>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</si>
  <si>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</si>
  <si>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</si>
  <si>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</si>
  <si>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</si>
  <si>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</si>
  <si>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</si>
  <si>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</si>
  <si>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</si>
  <si>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</si>
  <si>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</si>
  <si>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</si>
  <si>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</si>
  <si>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</si>
  <si>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</si>
  <si>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</si>
  <si>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</si>
  <si>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</si>
  <si>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</si>
  <si>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</si>
  <si>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</si>
  <si>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</si>
  <si>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</si>
  <si>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</si>
  <si>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</si>
  <si>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</si>
  <si>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</si>
  <si>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</si>
  <si>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</si>
  <si>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</si>
  <si>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</si>
  <si>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</si>
  <si>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</si>
  <si>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</si>
  <si>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</si>
  <si>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</si>
  <si>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</si>
  <si>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</si>
  <si>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</si>
  <si>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</si>
  <si>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</si>
  <si>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</si>
  <si>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</si>
  <si>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</si>
  <si>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</si>
  <si>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</si>
  <si>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</si>
  <si>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</si>
  <si>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</si>
  <si>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</si>
  <si>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</si>
  <si>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</si>
  <si>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</si>
  <si>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</si>
  <si>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</si>
  <si>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</si>
  <si>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</si>
  <si>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</si>
  <si>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</si>
  <si>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</si>
  <si>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</si>
  <si>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</si>
  <si>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</si>
  <si>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</si>
  <si>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</si>
  <si>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</si>
  <si>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</si>
  <si>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</si>
  <si>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</si>
  <si>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</si>
  <si>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</si>
  <si>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</si>
  <si>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</si>
  <si>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</si>
  <si>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</si>
  <si>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</si>
  <si>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</si>
  <si>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</si>
  <si>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</si>
  <si>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</si>
  <si>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</si>
  <si>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</si>
  <si>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</si>
  <si>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</si>
  <si>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</si>
  <si>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</si>
  <si>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</si>
  <si>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</si>
  <si>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</si>
  <si>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</si>
  <si>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</si>
  <si>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</si>
  <si>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</si>
  <si>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</si>
  <si>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</si>
  <si>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</si>
  <si>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</si>
  <si>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</si>
  <si>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</si>
  <si>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</si>
  <si>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</si>
  <si>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</si>
  <si>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</si>
  <si>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</si>
  <si>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</si>
  <si>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</si>
  <si>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</si>
  <si>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</si>
  <si>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</si>
  <si>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</si>
  <si>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</si>
  <si>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</si>
  <si>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</si>
  <si>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</si>
  <si>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</si>
  <si>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</si>
  <si>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</si>
  <si>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</si>
  <si>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</si>
  <si>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</si>
  <si>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</si>
  <si>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</si>
  <si>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</si>
  <si>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</si>
  <si>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</si>
  <si>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</si>
  <si>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</si>
  <si>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</si>
  <si>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</si>
  <si>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</si>
  <si>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</si>
  <si>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</si>
  <si>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</si>
  <si>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</si>
  <si>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</si>
  <si>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</si>
  <si>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</si>
  <si>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</si>
  <si>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</si>
  <si>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</si>
  <si>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</si>
  <si>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</si>
  <si>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</si>
  <si>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</si>
  <si>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</si>
  <si>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</si>
  <si>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</si>
  <si>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</si>
  <si>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</si>
  <si>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</si>
  <si>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</si>
  <si>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</si>
  <si>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</si>
  <si>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</si>
  <si>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</si>
  <si>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</si>
  <si>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</si>
  <si>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</si>
  <si>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</si>
  <si>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</si>
  <si>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</si>
  <si>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</si>
  <si>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</si>
  <si>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</si>
  <si>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</si>
  <si>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</si>
  <si>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</si>
  <si>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</si>
  <si>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</si>
  <si>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</si>
  <si>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</si>
  <si>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</si>
  <si>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</si>
  <si>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</si>
  <si>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</si>
  <si>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</si>
  <si>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</si>
  <si>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</si>
  <si>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</si>
  <si>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</si>
  <si>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</si>
  <si>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</si>
  <si>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</si>
  <si>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</si>
  <si>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</si>
  <si>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</si>
  <si>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</si>
  <si>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</si>
  <si>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</si>
  <si>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</si>
  <si>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</si>
  <si>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</si>
  <si>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</si>
  <si>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</si>
  <si>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</si>
  <si>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</si>
  <si>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</si>
  <si>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</si>
  <si>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</si>
  <si>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</si>
  <si>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</si>
  <si>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</si>
  <si>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</si>
  <si>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</si>
  <si>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</si>
  <si>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</si>
  <si>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</si>
  <si>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</si>
  <si>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</si>
  <si>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</si>
  <si>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</si>
  <si>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</si>
  <si>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</si>
  <si>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</si>
  <si>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</si>
  <si>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</si>
  <si>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</si>
  <si>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</si>
  <si>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</si>
  <si>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</si>
  <si>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</si>
  <si>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</si>
  <si>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</si>
  <si>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</si>
  <si>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</si>
  <si>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</si>
  <si>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</si>
  <si>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</si>
  <si>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</si>
  <si>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</si>
  <si>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</si>
  <si>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</si>
  <si>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</si>
  <si>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</si>
  <si>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</si>
  <si>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</si>
  <si>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</si>
  <si>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</si>
  <si>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</si>
  <si>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</si>
  <si>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</si>
  <si>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</si>
  <si>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</si>
  <si>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</si>
  <si>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</si>
  <si>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</si>
  <si>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</si>
  <si>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</si>
  <si>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</si>
  <si>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</si>
  <si>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</si>
  <si>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</si>
  <si>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</si>
  <si>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</si>
  <si>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</si>
  <si>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</si>
  <si>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</si>
  <si>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</si>
  <si>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</si>
  <si>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</si>
  <si>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</si>
  <si>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</si>
  <si>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</si>
  <si>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</si>
  <si>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</si>
  <si>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</si>
  <si>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</si>
  <si>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</si>
  <si>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</si>
  <si>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</si>
  <si>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</si>
  <si>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</si>
  <si>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</si>
  <si>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</si>
  <si>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</si>
  <si>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</si>
  <si>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</si>
  <si>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</si>
  <si>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</si>
  <si>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</si>
  <si>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</si>
  <si>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</si>
  <si>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</si>
  <si>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</si>
  <si>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</si>
  <si>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</si>
  <si>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</si>
  <si>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</si>
  <si>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</si>
  <si>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</si>
  <si>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</si>
  <si>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</si>
  <si>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</si>
  <si>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</si>
  <si>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</si>
  <si>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</si>
  <si>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</si>
  <si>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</si>
  <si>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</si>
  <si>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</si>
  <si>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</si>
  <si>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</si>
  <si>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</si>
  <si>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</si>
  <si>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</si>
  <si>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</si>
  <si>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</si>
  <si>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</si>
  <si>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</si>
  <si>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</si>
  <si>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</si>
  <si>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</si>
  <si>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</si>
  <si>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</si>
  <si>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</si>
  <si>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</si>
  <si>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</si>
  <si>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</si>
  <si>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</si>
  <si>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</si>
  <si>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</si>
  <si>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</si>
  <si>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</si>
  <si>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</si>
  <si>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</si>
  <si>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</si>
  <si>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</si>
  <si>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</si>
  <si>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</si>
  <si>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</si>
  <si>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</si>
  <si>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</si>
  <si>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</si>
  <si>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</si>
  <si>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</si>
  <si>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</si>
  <si>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</si>
  <si>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</si>
  <si>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</si>
  <si>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</si>
  <si>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</si>
  <si>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</si>
  <si>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</si>
  <si>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</si>
  <si>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</si>
  <si>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</si>
  <si>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</si>
  <si>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</si>
  <si>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</si>
  <si>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</si>
  <si>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</si>
  <si>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</si>
  <si>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</si>
  <si>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</si>
  <si>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</si>
  <si>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</si>
  <si>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</si>
  <si>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</si>
  <si>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</si>
  <si>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</si>
  <si>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</si>
  <si>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</si>
  <si>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</si>
  <si>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</si>
  <si>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</si>
  <si>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</si>
  <si>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</si>
  <si>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</si>
  <si>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</si>
  <si>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</si>
  <si>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</si>
  <si>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</si>
  <si>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</si>
  <si>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</si>
  <si>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</si>
  <si>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</si>
  <si>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</si>
  <si>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</si>
  <si>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</si>
  <si>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</si>
  <si>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</si>
  <si>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</si>
  <si>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</si>
  <si>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</si>
  <si>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</si>
  <si>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</si>
  <si>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</si>
  <si>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</si>
  <si>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</si>
  <si>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</si>
  <si>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finale door groepswinnaars</t>
  </si>
  <si>
    <t>elk land soort</t>
  </si>
  <si>
    <t>maximaal 6 doelpunten in wed.</t>
  </si>
  <si>
    <t>2 wedstrijden zonder kaarten</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</si>
  <si>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</si>
  <si>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</si>
  <si>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</si>
  <si>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</si>
  <si>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</si>
  <si>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</si>
  <si>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</si>
  <si>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</si>
  <si>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Laagste doelsaldo voor</t>
  </si>
  <si>
    <t>Meeste doelpunten in één wedstrijd - groepsfase</t>
  </si>
  <si>
    <t>Meeste doelpunten in één wedstrijd - finalewedstrijden</t>
  </si>
  <si>
    <t>Eis minimaal doelsaldo voor (minimaal)</t>
  </si>
  <si>
    <t>Eis maximum aantal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</si>
  <si>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</si>
  <si>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</si>
  <si>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</si>
  <si>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</si>
  <si>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</si>
  <si>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</si>
  <si>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</si>
  <si>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</si>
  <si>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</si>
  <si>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</si>
  <si>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</si>
  <si>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</si>
  <si>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</si>
  <si>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</si>
  <si>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</si>
  <si>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</si>
  <si>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</si>
  <si>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</si>
  <si>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</si>
  <si>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</si>
  <si>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</si>
  <si>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</si>
  <si>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</si>
  <si>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</si>
  <si>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</si>
  <si>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</si>
  <si>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</si>
  <si>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</si>
  <si>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</si>
  <si>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</si>
  <si>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</si>
  <si>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</si>
  <si>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</si>
  <si>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</si>
  <si>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</si>
  <si>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</si>
  <si>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</si>
  <si>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</si>
  <si>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</si>
  <si>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</si>
  <si>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</si>
  <si>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</si>
  <si>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</si>
  <si>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</si>
  <si>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</si>
  <si>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</si>
  <si>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</si>
  <si>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</si>
  <si>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</si>
  <si>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</si>
  <si>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</si>
  <si>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</si>
  <si>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</si>
  <si>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</si>
  <si>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</si>
  <si>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</si>
  <si>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</si>
  <si>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</si>
  <si>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</si>
  <si>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</si>
  <si>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</si>
  <si>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</si>
  <si>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</si>
  <si>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</si>
  <si>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</si>
  <si>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</si>
  <si>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</si>
  <si>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</si>
  <si>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</si>
  <si>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</si>
  <si>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</si>
  <si>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</si>
  <si>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</si>
  <si>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</si>
  <si>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</si>
  <si>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</si>
  <si>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</si>
  <si>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</si>
  <si>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</si>
  <si>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</si>
  <si>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</si>
  <si>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</si>
  <si>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</si>
  <si>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</si>
  <si>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</si>
  <si>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</si>
  <si>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</si>
  <si>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</si>
  <si>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</si>
  <si>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</si>
  <si>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</si>
  <si>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</si>
  <si>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</si>
  <si>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</si>
  <si>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</si>
  <si>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</si>
  <si>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</si>
  <si>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</si>
  <si>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</si>
  <si>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</si>
  <si>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</si>
  <si>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</si>
  <si>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</si>
  <si>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</si>
  <si>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</si>
  <si>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</si>
  <si>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</si>
  <si>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</si>
  <si>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</si>
  <si>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</si>
  <si>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</si>
  <si>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</si>
  <si>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</si>
  <si>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</si>
  <si>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</si>
  <si>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</si>
  <si>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</si>
  <si>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</si>
  <si>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</si>
  <si>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</si>
  <si>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</si>
  <si>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</si>
  <si>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</si>
  <si>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</si>
  <si>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</si>
  <si>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</si>
  <si>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</si>
  <si>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</si>
  <si>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</si>
  <si>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</si>
  <si>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</si>
  <si>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</si>
  <si>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</si>
  <si>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</si>
  <si>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</si>
  <si>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</si>
  <si>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</si>
  <si>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</si>
  <si>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</si>
  <si>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</si>
  <si>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</si>
  <si>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</si>
  <si>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</si>
  <si>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</si>
  <si>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</si>
  <si>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</si>
  <si>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</si>
  <si>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</si>
  <si>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</si>
  <si>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</si>
  <si>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</si>
  <si>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</si>
  <si>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</si>
  <si>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</si>
  <si>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</si>
  <si>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</si>
  <si>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</si>
  <si>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</si>
  <si>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</si>
  <si>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</si>
  <si>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</si>
  <si>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</si>
  <si>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</si>
  <si>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</si>
  <si>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</si>
  <si>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</si>
  <si>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</si>
  <si>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</si>
  <si>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</si>
  <si>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</si>
  <si>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</si>
  <si>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</si>
  <si>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</si>
  <si>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</si>
  <si>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</si>
  <si>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</si>
  <si>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</si>
  <si>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</si>
  <si>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</si>
  <si>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</si>
  <si>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</si>
  <si>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</si>
  <si>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</si>
  <si>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</si>
  <si>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</si>
  <si>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</si>
  <si>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</si>
  <si>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</si>
  <si>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</si>
  <si>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</si>
  <si>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</si>
  <si>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</si>
  <si>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</si>
  <si>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</si>
  <si>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</si>
  <si>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</si>
  <si>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</si>
  <si>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</si>
  <si>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</si>
  <si>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</si>
  <si>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</si>
  <si>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</si>
  <si>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</si>
  <si>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</si>
  <si>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</si>
  <si>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</si>
  <si>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</si>
  <si>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</si>
  <si>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</si>
  <si>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</si>
  <si>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</si>
  <si>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</si>
  <si>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</si>
  <si>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</si>
  <si>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</si>
  <si>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</si>
  <si>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</si>
  <si>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</si>
  <si>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</si>
  <si>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</si>
  <si>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</si>
  <si>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</si>
  <si>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</si>
  <si>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</si>
  <si>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</si>
  <si>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</si>
  <si>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</si>
  <si>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</si>
  <si>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</si>
  <si>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</si>
  <si>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</si>
  <si>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</si>
  <si>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</si>
  <si>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</si>
  <si>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</si>
  <si>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</si>
  <si>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</si>
  <si>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</si>
  <si>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</si>
  <si>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</si>
  <si>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</si>
  <si>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</si>
  <si>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</si>
  <si>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</si>
  <si>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</si>
  <si>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</si>
  <si>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</si>
  <si>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</si>
  <si>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</si>
  <si>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</si>
  <si>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</si>
  <si>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</si>
  <si>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</si>
  <si>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</si>
  <si>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</si>
  <si>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</si>
  <si>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</si>
  <si>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</si>
  <si>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</si>
  <si>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</si>
  <si>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</si>
  <si>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</si>
  <si>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</si>
  <si>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</si>
  <si>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</si>
  <si>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</si>
  <si>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</si>
  <si>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</si>
  <si>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</si>
  <si>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</si>
  <si>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</si>
  <si>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</si>
  <si>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</si>
  <si>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</si>
  <si>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</si>
  <si>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</si>
  <si>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</si>
  <si>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</si>
  <si>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</si>
  <si>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</si>
  <si>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</si>
  <si>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</si>
  <si>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</si>
  <si>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</si>
  <si>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</si>
  <si>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</si>
  <si>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</si>
  <si>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</si>
  <si>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</si>
  <si>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</si>
  <si>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</si>
  <si>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</si>
  <si>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</si>
  <si>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</si>
  <si>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</si>
  <si>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</si>
  <si>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</si>
  <si>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</si>
  <si>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</si>
  <si>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</si>
  <si>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</si>
  <si>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</si>
  <si>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</si>
  <si>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</si>
  <si>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</si>
  <si>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</si>
  <si>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</si>
  <si>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</si>
  <si>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</si>
  <si>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</si>
  <si>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</si>
  <si>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</si>
  <si>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</si>
  <si>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</si>
  <si>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</si>
  <si>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</si>
  <si>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</si>
  <si>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</si>
  <si>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</si>
  <si>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</si>
  <si>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</si>
  <si>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</si>
  <si>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</si>
  <si>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</si>
  <si>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</si>
  <si>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</si>
  <si>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</si>
  <si>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</si>
  <si>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</si>
  <si>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</si>
  <si>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</si>
  <si>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</si>
  <si>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</si>
  <si>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</si>
  <si>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</si>
  <si>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</si>
  <si>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</si>
  <si>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</si>
  <si>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</si>
  <si>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</si>
  <si>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</si>
  <si>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</si>
  <si>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</si>
  <si>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</si>
  <si>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</si>
  <si>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</si>
  <si>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</si>
  <si>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</si>
  <si>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</si>
  <si>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</si>
  <si>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</si>
  <si>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</si>
  <si>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</si>
  <si>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</si>
  <si>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</si>
  <si>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</si>
  <si>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</si>
  <si>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</si>
  <si>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</si>
  <si>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</si>
  <si>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</si>
  <si>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</si>
  <si>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</si>
  <si>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</si>
  <si>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</si>
  <si>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</si>
  <si>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</si>
  <si>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</si>
  <si>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</si>
  <si>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</si>
  <si>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</si>
  <si>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</si>
  <si>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</si>
  <si>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</si>
  <si>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</si>
  <si>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</si>
  <si>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</si>
  <si>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</si>
  <si>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</si>
  <si>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</si>
  <si>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</si>
  <si>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</si>
  <si>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</si>
  <si>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</si>
  <si>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</si>
  <si>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</si>
  <si>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</si>
  <si>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</si>
  <si>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</si>
  <si>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</si>
  <si>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</si>
  <si>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</si>
  <si>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</si>
  <si>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</si>
  <si>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</si>
  <si>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</si>
  <si>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</si>
  <si>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</si>
  <si>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</si>
  <si>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</si>
  <si>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</si>
  <si>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</si>
  <si>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</si>
  <si>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</si>
  <si>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</si>
  <si>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</si>
  <si>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</si>
  <si>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</si>
  <si>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</si>
  <si>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</si>
  <si>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</si>
  <si>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</si>
  <si>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</si>
  <si>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</si>
  <si>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</si>
  <si>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</si>
  <si>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</si>
  <si>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</si>
  <si>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</si>
  <si>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</si>
  <si>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</si>
  <si>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</si>
  <si>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</si>
  <si>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</si>
  <si>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</si>
  <si>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</si>
  <si>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</si>
  <si>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</si>
  <si>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</si>
  <si>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</si>
  <si>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</si>
  <si>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</si>
  <si>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</si>
  <si>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</si>
  <si>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</si>
  <si>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</si>
  <si>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</si>
  <si>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</si>
  <si>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</si>
  <si>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</si>
  <si>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</si>
  <si>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</si>
  <si>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</si>
  <si>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</si>
  <si>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</si>
  <si>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</si>
  <si>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</si>
  <si>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</si>
  <si>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</si>
  <si>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</si>
  <si>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</si>
  <si>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</si>
  <si>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</si>
  <si>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</si>
  <si>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</si>
  <si>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</si>
  <si>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</si>
  <si>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</si>
  <si>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</si>
  <si>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</si>
  <si>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</si>
  <si>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</si>
  <si>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</si>
  <si>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</si>
  <si>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</si>
  <si>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</si>
  <si>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</si>
  <si>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</si>
  <si>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</si>
  <si>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</si>
  <si>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</si>
  <si>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</si>
  <si>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</si>
  <si>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</si>
  <si>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</si>
  <si>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</si>
  <si>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</si>
  <si>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</si>
  <si>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</si>
  <si>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</si>
  <si>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</si>
  <si>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</si>
  <si>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</si>
  <si>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</si>
  <si>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</si>
  <si>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</si>
  <si>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</si>
  <si>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</si>
  <si>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</si>
  <si>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</si>
  <si>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</si>
  <si>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</si>
  <si>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</si>
  <si>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</si>
  <si>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</si>
  <si>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</si>
  <si>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</si>
  <si>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</si>
  <si>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</si>
  <si>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</si>
  <si>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</si>
  <si>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</si>
  <si>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</si>
  <si>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</si>
  <si>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</si>
  <si>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</si>
  <si>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</si>
  <si>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</si>
  <si>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</si>
  <si>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</si>
  <si>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</si>
  <si>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</si>
  <si>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</si>
  <si>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</si>
  <si>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</si>
  <si>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</si>
  <si>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</si>
  <si>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</si>
  <si>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</si>
  <si>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</si>
  <si>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</si>
  <si>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</si>
  <si>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</si>
  <si>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</si>
  <si>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</si>
  <si>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</si>
  <si>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</si>
  <si>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</si>
  <si>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</si>
  <si>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</si>
  <si>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</si>
  <si>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</si>
  <si>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</si>
  <si>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</si>
  <si>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</si>
  <si>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</si>
  <si>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5 van de 6 groepswinnaar door</t>
  </si>
  <si>
    <t>BE,DE,GB,FR,IT,NL,PT,ES naar 1/8</t>
  </si>
  <si>
    <t>wed. 51t</t>
  </si>
  <si>
    <t>wed. 51u</t>
  </si>
  <si>
    <t>Groep A t/m C</t>
  </si>
  <si>
    <t>winnaar uit groep ABC</t>
  </si>
  <si>
    <t>wed. 40u</t>
  </si>
  <si>
    <t>wed. 39u</t>
  </si>
  <si>
    <t>wed. 41u</t>
  </si>
  <si>
    <t>wed. 43u</t>
  </si>
  <si>
    <t>van de 4 best nr.3, 1 of meer door</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</si>
  <si>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</si>
  <si>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</si>
  <si>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</si>
  <si>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GB en/of IT in finale</t>
  </si>
  <si>
    <t>9, 12, 14</t>
  </si>
  <si>
    <t>minimaal 5 eigen doelpunten</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</si>
  <si>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</si>
  <si>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</si>
  <si>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</si>
  <si>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</si>
  <si>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</si>
  <si>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</si>
  <si>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</si>
  <si>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</si>
  <si>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</si>
  <si>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</si>
  <si>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aantal</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</si>
  <si>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</si>
  <si>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</si>
  <si>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</si>
  <si>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</si>
  <si>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</si>
  <si>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</si>
  <si>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</si>
  <si>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</si>
  <si>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</si>
  <si>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</si>
  <si>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</si>
  <si>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</si>
  <si>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</si>
  <si>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</si>
  <si>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</si>
  <si>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</si>
  <si>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</si>
  <si>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</si>
  <si>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</si>
  <si>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</si>
  <si>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</si>
  <si>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</si>
  <si>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</si>
  <si>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</si>
  <si>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</si>
  <si>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</si>
  <si>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</si>
  <si>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</si>
  <si>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</si>
  <si>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</si>
  <si>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</si>
  <si>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v24.00hd</t>
  </si>
  <si>
    <t>|hd|G140915|14#624|EK*#Polo-poule|Polo*#Bar|info@polobar.nl||AD¦P|#1|##|1000|5000|3000|2000||50|10|#0|10|#6|#6|#6|#4|##|##|X##|X##|X##|BA##||DABCKLO|#5|#5|##|#2}</t>
  </si>
  <si>
    <t>&lt;0|00|0|00|00&gt;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</si>
</sst>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b/>
      <sz val="12"/>
      <color theme="1" tint="0.499984740745262"/>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10"/>
      <color rgb="FFFF0000"/>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sz val="19"/>
      <color theme="1"/>
      <name val="Calibri"/>
      <family val="2"/>
      <scheme val="minor"/>
    </font>
    <font>
      <b/>
      <sz val="11"/>
      <color rgb="FFFFFF00"/>
      <name val="Calibri"/>
      <family val="2"/>
      <scheme val="minor"/>
    </font>
    <font>
      <sz val="11"/>
      <color rgb="FFFFFF00"/>
      <name val="Calibri"/>
      <family val="2"/>
      <scheme val="minor"/>
    </font>
    <font>
      <b/>
      <sz val="11"/>
      <color theme="1"/>
      <name val="Calibri"/>
      <family val="2"/>
    </font>
    <font>
      <i/>
      <sz val="9"/>
      <color theme="0"/>
      <name val="Calibri"/>
      <family val="2"/>
      <scheme val="minor"/>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10"/>
      <color rgb="FFFF0000"/>
      <name val="Calibri"/>
      <family val="2"/>
      <scheme val="minor"/>
    </font>
  </fonts>
  <fills count="5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rgb="FF92D05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rgb="FF0070C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style="thin">
        <color theme="0" tint="-0.34998626667073579"/>
      </top>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7" applyNumberFormat="0" applyFill="0" applyAlignment="0" applyProtection="0"/>
    <xf numFmtId="0" fontId="17" fillId="0" borderId="0" applyNumberFormat="0" applyFill="0" applyBorder="0" applyAlignment="0" applyProtection="0"/>
    <xf numFmtId="0" fontId="107" fillId="0" borderId="0" applyNumberFormat="0" applyFill="0" applyBorder="0" applyAlignment="0" applyProtection="0">
      <alignment vertical="top"/>
      <protection locked="0"/>
    </xf>
    <xf numFmtId="0" fontId="106" fillId="0" borderId="0" applyNumberFormat="0" applyFill="0" applyBorder="0" applyAlignment="0" applyProtection="0"/>
    <xf numFmtId="0" fontId="108" fillId="0" borderId="0" applyNumberFormat="0" applyFill="0" applyBorder="0" applyAlignment="0" applyProtection="0"/>
    <xf numFmtId="0" fontId="17" fillId="0" borderId="0" applyNumberFormat="0" applyFill="0" applyBorder="0" applyAlignment="0" applyProtection="0"/>
  </cellStyleXfs>
  <cellXfs count="1456">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0" fillId="16" borderId="0" xfId="0" applyFill="1" applyProtection="1">
      <protection hidden="1"/>
    </xf>
    <xf numFmtId="0" fontId="1" fillId="2" borderId="0" xfId="0" applyFont="1" applyFill="1" applyProtection="1">
      <protection hidden="1"/>
    </xf>
    <xf numFmtId="0" fontId="0" fillId="16" borderId="0" xfId="0" applyFill="1" applyAlignment="1" applyProtection="1">
      <alignment horizontal="center"/>
      <protection hidden="1"/>
    </xf>
    <xf numFmtId="0" fontId="0" fillId="4" borderId="0" xfId="0" applyFill="1" applyAlignment="1" applyProtection="1">
      <alignment horizontal="center"/>
      <protection hidden="1"/>
    </xf>
    <xf numFmtId="0" fontId="0" fillId="17"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7"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20" borderId="0" xfId="0" applyFill="1" applyAlignment="1" applyProtection="1">
      <alignment horizontal="center"/>
      <protection hidden="1"/>
    </xf>
    <xf numFmtId="0" fontId="0" fillId="20" borderId="0" xfId="0" applyFill="1" applyProtection="1">
      <protection hidden="1"/>
    </xf>
    <xf numFmtId="0" fontId="1" fillId="6" borderId="0" xfId="0" applyFont="1" applyFill="1" applyAlignment="1" applyProtection="1">
      <alignment horizontal="left"/>
      <protection hidden="1"/>
    </xf>
    <xf numFmtId="0" fontId="0" fillId="21"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2"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8"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4"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2" borderId="0" xfId="0" applyFill="1" applyAlignment="1" applyProtection="1">
      <alignment horizontal="center"/>
      <protection hidden="1"/>
    </xf>
    <xf numFmtId="0" fontId="0" fillId="25"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4"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20"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4" borderId="14" xfId="0" applyFill="1" applyBorder="1" applyProtection="1">
      <protection hidden="1"/>
    </xf>
    <xf numFmtId="0" fontId="0" fillId="24" borderId="0" xfId="0" applyFill="1" applyAlignment="1" applyProtection="1">
      <alignment horizontal="left"/>
      <protection hidden="1"/>
    </xf>
    <xf numFmtId="0" fontId="0" fillId="24" borderId="12" xfId="0" applyFill="1" applyBorder="1" applyProtection="1">
      <protection hidden="1"/>
    </xf>
    <xf numFmtId="0" fontId="0" fillId="24" borderId="3" xfId="0" applyFill="1" applyBorder="1" applyAlignment="1" applyProtection="1">
      <alignment horizontal="left"/>
      <protection hidden="1"/>
    </xf>
    <xf numFmtId="0" fontId="0" fillId="24" borderId="11" xfId="0" applyFill="1" applyBorder="1" applyProtection="1">
      <protection hidden="1"/>
    </xf>
    <xf numFmtId="0" fontId="32" fillId="24" borderId="2" xfId="0" applyFont="1" applyFill="1" applyBorder="1" applyAlignment="1" applyProtection="1">
      <alignment horizontal="left" vertical="center"/>
      <protection hidden="1"/>
    </xf>
    <xf numFmtId="0" fontId="4" fillId="24"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5" borderId="0" xfId="0" applyFill="1" applyAlignment="1" applyProtection="1">
      <alignment horizontal="center"/>
      <protection hidden="1"/>
    </xf>
    <xf numFmtId="0" fontId="3" fillId="7" borderId="0" xfId="0" applyFont="1" applyFill="1" applyAlignment="1" applyProtection="1">
      <alignment horizontal="center"/>
      <protection hidden="1"/>
    </xf>
    <xf numFmtId="0" fontId="0" fillId="19" borderId="0" xfId="0" applyFill="1" applyAlignment="1" applyProtection="1">
      <alignment horizontal="center"/>
      <protection hidden="1"/>
    </xf>
    <xf numFmtId="0" fontId="0" fillId="29" borderId="0" xfId="0" applyFill="1" applyAlignment="1" applyProtection="1">
      <alignment horizontal="center"/>
      <protection hidden="1"/>
    </xf>
    <xf numFmtId="0" fontId="0" fillId="28" borderId="0" xfId="0" applyFill="1" applyAlignment="1" applyProtection="1">
      <alignment horizontal="center"/>
      <protection hidden="1"/>
    </xf>
    <xf numFmtId="0" fontId="0" fillId="20" borderId="7" xfId="0" applyFill="1" applyBorder="1" applyAlignment="1" applyProtection="1">
      <alignment horizontal="center"/>
      <protection hidden="1"/>
    </xf>
    <xf numFmtId="0" fontId="0" fillId="20" borderId="3" xfId="0" applyFill="1" applyBorder="1" applyAlignment="1" applyProtection="1">
      <alignment horizontal="center"/>
      <protection hidden="1"/>
    </xf>
    <xf numFmtId="0" fontId="0" fillId="20" borderId="15" xfId="0" applyFill="1" applyBorder="1" applyAlignment="1" applyProtection="1">
      <alignment horizontal="center"/>
      <protection hidden="1"/>
    </xf>
    <xf numFmtId="0" fontId="0" fillId="20" borderId="6" xfId="0" applyFill="1" applyBorder="1" applyAlignment="1" applyProtection="1">
      <alignment horizontal="center"/>
      <protection hidden="1"/>
    </xf>
    <xf numFmtId="0" fontId="0" fillId="20" borderId="5" xfId="0" applyFill="1" applyBorder="1" applyAlignment="1" applyProtection="1">
      <alignment horizontal="center"/>
      <protection hidden="1"/>
    </xf>
    <xf numFmtId="0" fontId="0" fillId="20" borderId="2" xfId="0" applyFill="1" applyBorder="1" applyAlignment="1" applyProtection="1">
      <alignment horizontal="center"/>
      <protection hidden="1"/>
    </xf>
    <xf numFmtId="0" fontId="0" fillId="20" borderId="13" xfId="0" applyFill="1" applyBorder="1" applyAlignment="1" applyProtection="1">
      <alignment horizontal="center"/>
      <protection hidden="1"/>
    </xf>
    <xf numFmtId="0" fontId="1" fillId="28" borderId="0" xfId="0" applyFont="1" applyFill="1" applyAlignment="1" applyProtection="1">
      <alignment horizontal="center"/>
      <protection hidden="1"/>
    </xf>
    <xf numFmtId="1" fontId="0" fillId="20" borderId="0" xfId="0" applyNumberFormat="1" applyFill="1" applyAlignment="1" applyProtection="1">
      <alignment horizontal="center"/>
      <protection hidden="1"/>
    </xf>
    <xf numFmtId="0" fontId="1" fillId="4" borderId="0" xfId="0" applyFont="1" applyFill="1" applyProtection="1">
      <protection hidden="1"/>
    </xf>
    <xf numFmtId="0" fontId="0" fillId="22"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20" borderId="0" xfId="0" applyFill="1" applyAlignment="1" applyProtection="1">
      <alignment vertical="center"/>
      <protection hidden="1"/>
    </xf>
    <xf numFmtId="0" fontId="0" fillId="20" borderId="0" xfId="0" applyFill="1" applyAlignment="1" applyProtection="1">
      <alignment horizontal="center" vertical="center"/>
      <protection hidden="1"/>
    </xf>
    <xf numFmtId="0" fontId="0" fillId="20"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20"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5" borderId="0" xfId="0" applyFont="1" applyFill="1" applyAlignment="1" applyProtection="1">
      <alignment horizontal="center"/>
      <protection locked="0" hidden="1"/>
    </xf>
    <xf numFmtId="0" fontId="1" fillId="25"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20" borderId="0" xfId="0" applyNumberFormat="1" applyFill="1" applyAlignment="1" applyProtection="1">
      <alignment vertical="center"/>
      <protection hidden="1"/>
    </xf>
    <xf numFmtId="0" fontId="2" fillId="32" borderId="0" xfId="0" applyFont="1" applyFill="1" applyProtection="1">
      <protection hidden="1"/>
    </xf>
    <xf numFmtId="0" fontId="1" fillId="5" borderId="0" xfId="0" applyFont="1" applyFill="1" applyAlignment="1" applyProtection="1">
      <alignment horizontal="center"/>
      <protection locked="0" hidden="1"/>
    </xf>
    <xf numFmtId="0" fontId="1" fillId="5" borderId="0" xfId="0" applyFont="1" applyFill="1" applyProtection="1">
      <protection hidden="1"/>
    </xf>
    <xf numFmtId="0" fontId="1" fillId="32" borderId="0" xfId="0" applyFont="1" applyFill="1" applyAlignment="1" applyProtection="1">
      <alignment horizontal="center"/>
      <protection hidden="1"/>
    </xf>
    <xf numFmtId="0" fontId="0" fillId="29" borderId="0" xfId="0" applyFill="1" applyAlignment="1" applyProtection="1">
      <alignment horizontal="left"/>
      <protection hidden="1"/>
    </xf>
    <xf numFmtId="0" fontId="1" fillId="29" borderId="0" xfId="0" applyFont="1" applyFill="1" applyAlignment="1" applyProtection="1">
      <alignment horizontal="left"/>
      <protection hidden="1"/>
    </xf>
    <xf numFmtId="0" fontId="0" fillId="33" borderId="0" xfId="0" applyFill="1" applyAlignment="1" applyProtection="1">
      <alignment horizontal="center"/>
      <protection hidden="1"/>
    </xf>
    <xf numFmtId="0" fontId="1" fillId="33" borderId="0" xfId="0" applyFont="1" applyFill="1" applyAlignment="1" applyProtection="1">
      <alignment horizontal="left"/>
      <protection hidden="1"/>
    </xf>
    <xf numFmtId="0" fontId="19" fillId="2" borderId="0" xfId="0" applyFont="1" applyFill="1" applyProtection="1">
      <protection hidden="1"/>
    </xf>
    <xf numFmtId="0" fontId="16"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12" fillId="28" borderId="0" xfId="0" applyFont="1" applyFill="1" applyAlignment="1" applyProtection="1">
      <alignment horizontal="center"/>
      <protection hidden="1"/>
    </xf>
    <xf numFmtId="0" fontId="20" fillId="28" borderId="0" xfId="0" applyFont="1" applyFill="1" applyAlignment="1" applyProtection="1">
      <alignment horizontal="left" indent="1"/>
      <protection hidden="1"/>
    </xf>
    <xf numFmtId="0" fontId="0" fillId="22" borderId="0" xfId="0" applyFill="1" applyAlignment="1" applyProtection="1">
      <alignment horizontal="right"/>
      <protection hidden="1"/>
    </xf>
    <xf numFmtId="0" fontId="0" fillId="22" borderId="0" xfId="0" applyFill="1" applyAlignment="1" applyProtection="1">
      <alignment horizontal="left"/>
      <protection hidden="1"/>
    </xf>
    <xf numFmtId="0" fontId="0" fillId="20" borderId="14" xfId="0" applyFill="1" applyBorder="1" applyAlignment="1" applyProtection="1">
      <alignment horizontal="center"/>
      <protection hidden="1"/>
    </xf>
    <xf numFmtId="0" fontId="0" fillId="20" borderId="12" xfId="0" applyFill="1" applyBorder="1" applyAlignment="1" applyProtection="1">
      <alignment horizontal="center"/>
      <protection hidden="1"/>
    </xf>
    <xf numFmtId="0" fontId="12" fillId="20" borderId="11" xfId="0" applyFont="1" applyFill="1" applyBorder="1" applyAlignment="1" applyProtection="1">
      <alignment horizontal="center"/>
      <protection hidden="1"/>
    </xf>
    <xf numFmtId="0" fontId="12" fillId="20" borderId="0" xfId="0" applyFont="1" applyFill="1" applyAlignment="1" applyProtection="1">
      <alignment horizontal="center"/>
      <protection hidden="1"/>
    </xf>
    <xf numFmtId="0" fontId="12" fillId="20" borderId="13" xfId="0" applyFont="1" applyFill="1" applyBorder="1" applyAlignment="1" applyProtection="1">
      <alignment horizontal="center"/>
      <protection hidden="1"/>
    </xf>
    <xf numFmtId="0" fontId="7" fillId="20" borderId="2" xfId="0" applyFont="1" applyFill="1" applyBorder="1" applyAlignment="1" applyProtection="1">
      <alignment textRotation="90"/>
      <protection hidden="1"/>
    </xf>
    <xf numFmtId="0" fontId="7" fillId="20" borderId="0" xfId="0" applyFont="1" applyFill="1" applyAlignment="1" applyProtection="1">
      <alignment textRotation="90"/>
      <protection hidden="1"/>
    </xf>
    <xf numFmtId="1" fontId="0" fillId="20" borderId="5" xfId="0" applyNumberFormat="1" applyFill="1" applyBorder="1" applyAlignment="1" applyProtection="1">
      <alignment horizontal="right"/>
      <protection hidden="1"/>
    </xf>
    <xf numFmtId="1" fontId="0" fillId="20" borderId="6" xfId="0" applyNumberFormat="1" applyFill="1" applyBorder="1" applyAlignment="1" applyProtection="1">
      <alignment horizontal="right"/>
      <protection hidden="1"/>
    </xf>
    <xf numFmtId="1" fontId="0" fillId="20" borderId="7" xfId="0" applyNumberFormat="1" applyFill="1" applyBorder="1" applyAlignment="1" applyProtection="1">
      <alignment horizontal="right"/>
      <protection hidden="1"/>
    </xf>
    <xf numFmtId="0" fontId="0" fillId="20" borderId="5" xfId="0" applyFill="1" applyBorder="1" applyAlignment="1" applyProtection="1">
      <alignment horizontal="center" vertical="center"/>
      <protection hidden="1"/>
    </xf>
    <xf numFmtId="0" fontId="0" fillId="20" borderId="6" xfId="0" applyFill="1" applyBorder="1" applyAlignment="1" applyProtection="1">
      <alignment horizontal="center" vertical="center"/>
      <protection hidden="1"/>
    </xf>
    <xf numFmtId="0" fontId="0" fillId="20"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9" borderId="0" xfId="0" applyFill="1" applyAlignment="1" applyProtection="1">
      <alignment horizontal="right"/>
      <protection hidden="1"/>
    </xf>
    <xf numFmtId="1" fontId="0" fillId="29" borderId="0" xfId="0" applyNumberFormat="1" applyFill="1" applyAlignment="1" applyProtection="1">
      <alignment horizontal="right"/>
      <protection hidden="1"/>
    </xf>
    <xf numFmtId="0" fontId="0" fillId="20" borderId="14" xfId="0" applyFill="1" applyBorder="1" applyAlignment="1" applyProtection="1">
      <alignment horizontal="center" vertical="center"/>
      <protection hidden="1"/>
    </xf>
    <xf numFmtId="0" fontId="0" fillId="20" borderId="12" xfId="0" applyFill="1" applyBorder="1" applyAlignment="1" applyProtection="1">
      <alignment horizontal="center" vertical="center"/>
      <protection hidden="1"/>
    </xf>
    <xf numFmtId="0" fontId="0" fillId="20" borderId="11" xfId="0" applyFill="1" applyBorder="1" applyAlignment="1" applyProtection="1">
      <alignment horizontal="center" vertical="center"/>
      <protection hidden="1"/>
    </xf>
    <xf numFmtId="0" fontId="0" fillId="26" borderId="0" xfId="0" applyFill="1" applyAlignment="1" applyProtection="1">
      <alignment horizontal="center"/>
      <protection hidden="1"/>
    </xf>
    <xf numFmtId="1" fontId="0" fillId="26" borderId="0" xfId="0" applyNumberFormat="1" applyFill="1" applyAlignment="1" applyProtection="1">
      <alignment horizontal="center" vertical="center"/>
      <protection hidden="1"/>
    </xf>
    <xf numFmtId="0" fontId="0" fillId="24" borderId="2" xfId="0" applyFill="1" applyBorder="1" applyProtection="1">
      <protection hidden="1"/>
    </xf>
    <xf numFmtId="0" fontId="0" fillId="24" borderId="0" xfId="0" applyFill="1" applyProtection="1">
      <protection hidden="1"/>
    </xf>
    <xf numFmtId="0" fontId="0" fillId="24"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2"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0" fontId="0" fillId="38"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8" borderId="1" xfId="0" applyFill="1" applyBorder="1" applyAlignment="1" applyProtection="1">
      <alignment horizontal="center"/>
      <protection hidden="1"/>
    </xf>
    <xf numFmtId="0" fontId="5" fillId="2" borderId="0" xfId="0" applyFont="1" applyFill="1" applyProtection="1">
      <protection hidden="1"/>
    </xf>
    <xf numFmtId="0" fontId="14" fillId="20" borderId="0" xfId="0" applyFont="1" applyFill="1" applyAlignment="1" applyProtection="1">
      <alignment horizontal="center" vertical="center"/>
      <protection hidden="1"/>
    </xf>
    <xf numFmtId="0" fontId="0" fillId="20" borderId="13" xfId="0" applyFill="1" applyBorder="1" applyAlignment="1" applyProtection="1">
      <alignment horizontal="center" vertical="center"/>
      <protection hidden="1"/>
    </xf>
    <xf numFmtId="0" fontId="12" fillId="20" borderId="13" xfId="0" applyFont="1" applyFill="1" applyBorder="1" applyAlignment="1" applyProtection="1">
      <alignment horizontal="center" vertical="center"/>
      <protection hidden="1"/>
    </xf>
    <xf numFmtId="1" fontId="43" fillId="20" borderId="2" xfId="0" applyNumberFormat="1" applyFont="1" applyFill="1" applyBorder="1" applyAlignment="1" applyProtection="1">
      <alignment horizontal="center" vertical="center"/>
      <protection hidden="1"/>
    </xf>
    <xf numFmtId="0" fontId="12" fillId="20" borderId="0" xfId="0" applyFont="1" applyFill="1" applyAlignment="1" applyProtection="1">
      <alignment horizontal="center" vertical="center"/>
      <protection hidden="1"/>
    </xf>
    <xf numFmtId="1" fontId="43" fillId="20" borderId="0" xfId="0" applyNumberFormat="1" applyFont="1" applyFill="1" applyAlignment="1" applyProtection="1">
      <alignment horizontal="center" vertical="center"/>
      <protection hidden="1"/>
    </xf>
    <xf numFmtId="1" fontId="43" fillId="20" borderId="3" xfId="0" applyNumberFormat="1" applyFont="1" applyFill="1" applyBorder="1" applyAlignment="1" applyProtection="1">
      <alignment horizontal="center" vertical="center"/>
      <protection hidden="1"/>
    </xf>
    <xf numFmtId="0" fontId="12" fillId="20" borderId="3" xfId="0" applyFont="1" applyFill="1" applyBorder="1" applyAlignment="1" applyProtection="1">
      <alignment horizontal="center" vertical="center"/>
      <protection hidden="1"/>
    </xf>
    <xf numFmtId="1" fontId="43" fillId="20" borderId="5" xfId="0" applyNumberFormat="1" applyFont="1" applyFill="1" applyBorder="1" applyAlignment="1" applyProtection="1">
      <alignment horizontal="center" vertical="center"/>
      <protection hidden="1"/>
    </xf>
    <xf numFmtId="1" fontId="43" fillId="20" borderId="14" xfId="0" applyNumberFormat="1" applyFont="1" applyFill="1" applyBorder="1" applyAlignment="1" applyProtection="1">
      <alignment horizontal="center" vertical="center"/>
      <protection hidden="1"/>
    </xf>
    <xf numFmtId="0" fontId="0" fillId="20" borderId="8" xfId="0" applyFill="1" applyBorder="1" applyAlignment="1" applyProtection="1">
      <alignment horizontal="center" vertical="center"/>
      <protection hidden="1"/>
    </xf>
    <xf numFmtId="1" fontId="43" fillId="20" borderId="6" xfId="0" applyNumberFormat="1" applyFont="1" applyFill="1" applyBorder="1" applyAlignment="1" applyProtection="1">
      <alignment horizontal="center" vertical="center"/>
      <protection hidden="1"/>
    </xf>
    <xf numFmtId="1" fontId="43" fillId="20" borderId="12" xfId="0" applyNumberFormat="1" applyFont="1"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1" fontId="43" fillId="20" borderId="7" xfId="0" applyNumberFormat="1" applyFont="1" applyFill="1" applyBorder="1" applyAlignment="1" applyProtection="1">
      <alignment horizontal="center" vertical="center"/>
      <protection hidden="1"/>
    </xf>
    <xf numFmtId="1" fontId="43" fillId="20" borderId="11" xfId="0" applyNumberFormat="1" applyFont="1" applyFill="1" applyBorder="1" applyAlignment="1" applyProtection="1">
      <alignment horizontal="center" vertical="center"/>
      <protection hidden="1"/>
    </xf>
    <xf numFmtId="0" fontId="1" fillId="10" borderId="0" xfId="0" applyFont="1" applyFill="1" applyAlignment="1" applyProtection="1">
      <alignment horizontal="center"/>
      <protection hidden="1"/>
    </xf>
    <xf numFmtId="0" fontId="1" fillId="21" borderId="0" xfId="0" applyFont="1" applyFill="1" applyAlignment="1" applyProtection="1">
      <alignment horizontal="center"/>
      <protection hidden="1"/>
    </xf>
    <xf numFmtId="0" fontId="0" fillId="21" borderId="0" xfId="0" applyFill="1" applyAlignment="1" applyProtection="1">
      <alignment horizontal="center"/>
      <protection hidden="1"/>
    </xf>
    <xf numFmtId="0" fontId="0" fillId="40" borderId="0" xfId="0" applyFill="1" applyAlignment="1" applyProtection="1">
      <alignment horizontal="center"/>
      <protection hidden="1"/>
    </xf>
    <xf numFmtId="0" fontId="0" fillId="40" borderId="0" xfId="0" applyFill="1" applyAlignment="1" applyProtection="1">
      <alignment horizontal="right"/>
      <protection hidden="1"/>
    </xf>
    <xf numFmtId="0" fontId="0" fillId="40" borderId="0" xfId="0" applyFill="1" applyAlignment="1" applyProtection="1">
      <alignment horizontal="left"/>
      <protection hidden="1"/>
    </xf>
    <xf numFmtId="0" fontId="1" fillId="40" borderId="0" xfId="0" applyFont="1" applyFill="1" applyAlignment="1" applyProtection="1">
      <alignment horizontal="left"/>
      <protection hidden="1"/>
    </xf>
    <xf numFmtId="0" fontId="1" fillId="40"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40" borderId="0" xfId="0" applyFont="1" applyFill="1" applyAlignment="1" applyProtection="1">
      <alignment horizontal="left" vertical="center"/>
      <protection hidden="1"/>
    </xf>
    <xf numFmtId="0" fontId="45" fillId="40" borderId="0" xfId="0" applyFont="1" applyFill="1" applyAlignment="1" applyProtection="1">
      <alignment horizontal="left"/>
      <protection hidden="1"/>
    </xf>
    <xf numFmtId="0" fontId="47" fillId="17" borderId="0" xfId="0" applyFont="1" applyFill="1" applyProtection="1">
      <protection hidden="1"/>
    </xf>
    <xf numFmtId="0" fontId="48" fillId="17" borderId="0" xfId="0" applyFont="1" applyFill="1" applyProtection="1">
      <protection hidden="1"/>
    </xf>
    <xf numFmtId="0" fontId="11" fillId="13" borderId="0" xfId="0" applyFont="1" applyFill="1" applyAlignment="1" applyProtection="1">
      <alignment horizontal="center" vertical="center"/>
      <protection hidden="1"/>
    </xf>
    <xf numFmtId="0" fontId="0" fillId="40" borderId="0" xfId="0" applyFill="1" applyAlignment="1" applyProtection="1">
      <alignment horizontal="left" vertical="center"/>
      <protection hidden="1"/>
    </xf>
    <xf numFmtId="0" fontId="1" fillId="40" borderId="0" xfId="0" applyFont="1" applyFill="1" applyAlignment="1" applyProtection="1">
      <alignment horizontal="left" vertical="center"/>
      <protection hidden="1"/>
    </xf>
    <xf numFmtId="0" fontId="14" fillId="40" borderId="0" xfId="0" applyFont="1" applyFill="1" applyAlignment="1" applyProtection="1">
      <alignment horizontal="left" vertical="center"/>
      <protection hidden="1"/>
    </xf>
    <xf numFmtId="0" fontId="14" fillId="40" borderId="0" xfId="0" applyFont="1" applyFill="1" applyAlignment="1" applyProtection="1">
      <alignment horizontal="left"/>
      <protection hidden="1"/>
    </xf>
    <xf numFmtId="0" fontId="7" fillId="19" borderId="0" xfId="0" applyFont="1" applyFill="1" applyProtection="1">
      <protection hidden="1"/>
    </xf>
    <xf numFmtId="0" fontId="7" fillId="2" borderId="1" xfId="0" applyFont="1" applyFill="1" applyBorder="1" applyAlignment="1" applyProtection="1">
      <alignment horizontal="center"/>
      <protection hidden="1"/>
    </xf>
    <xf numFmtId="0" fontId="7" fillId="40" borderId="0" xfId="0" applyFont="1" applyFill="1" applyAlignment="1" applyProtection="1">
      <alignment horizontal="left"/>
      <protection hidden="1"/>
    </xf>
    <xf numFmtId="0" fontId="7" fillId="40" borderId="0" xfId="0" applyFont="1" applyFill="1" applyAlignment="1" applyProtection="1">
      <alignment horizontal="left" vertical="center"/>
      <protection hidden="1"/>
    </xf>
    <xf numFmtId="0" fontId="0" fillId="39" borderId="0" xfId="0" applyFill="1" applyProtection="1">
      <protection hidden="1"/>
    </xf>
    <xf numFmtId="0" fontId="1" fillId="39" borderId="0" xfId="0" applyFont="1" applyFill="1" applyAlignment="1" applyProtection="1">
      <alignment horizontal="center"/>
      <protection hidden="1"/>
    </xf>
    <xf numFmtId="0" fontId="7" fillId="39" borderId="0" xfId="0" applyFont="1" applyFill="1" applyAlignment="1" applyProtection="1">
      <alignment horizontal="center"/>
      <protection hidden="1"/>
    </xf>
    <xf numFmtId="0" fontId="7" fillId="39" borderId="0" xfId="0" applyFont="1" applyFill="1" applyAlignment="1" applyProtection="1">
      <alignment horizontal="left"/>
      <protection hidden="1"/>
    </xf>
    <xf numFmtId="0" fontId="1" fillId="39" borderId="0" xfId="0" applyFont="1" applyFill="1" applyAlignment="1" applyProtection="1">
      <alignment horizontal="left"/>
      <protection hidden="1"/>
    </xf>
    <xf numFmtId="0" fontId="1" fillId="39" borderId="0" xfId="0" applyFont="1" applyFill="1" applyProtection="1">
      <protection hidden="1"/>
    </xf>
    <xf numFmtId="0" fontId="7" fillId="39" borderId="0" xfId="0" applyFont="1" applyFill="1" applyAlignment="1" applyProtection="1">
      <alignment horizontal="center" vertical="center"/>
      <protection hidden="1"/>
    </xf>
    <xf numFmtId="0" fontId="16" fillId="21" borderId="0" xfId="0" applyFont="1" applyFill="1" applyProtection="1">
      <protection hidden="1"/>
    </xf>
    <xf numFmtId="0" fontId="52" fillId="21" borderId="0" xfId="0" applyFont="1" applyFill="1" applyAlignment="1" applyProtection="1">
      <alignment horizontal="center"/>
      <protection hidden="1"/>
    </xf>
    <xf numFmtId="0" fontId="53" fillId="21" borderId="0" xfId="0" applyFont="1" applyFill="1" applyAlignment="1" applyProtection="1">
      <alignment horizontal="center"/>
      <protection hidden="1"/>
    </xf>
    <xf numFmtId="13" fontId="53" fillId="21" borderId="0" xfId="0" applyNumberFormat="1" applyFont="1" applyFill="1" applyAlignment="1" applyProtection="1">
      <alignment horizontal="center" vertical="center"/>
      <protection hidden="1"/>
    </xf>
    <xf numFmtId="0" fontId="51" fillId="2" borderId="1" xfId="0" applyFont="1" applyFill="1" applyBorder="1" applyAlignment="1" applyProtection="1">
      <alignment horizont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11" borderId="0" xfId="0" applyFont="1" applyFill="1" applyProtection="1">
      <protection hidden="1"/>
    </xf>
    <xf numFmtId="0" fontId="7" fillId="40" borderId="0" xfId="0" applyFont="1" applyFill="1" applyAlignment="1" applyProtection="1">
      <alignment horizontal="center" vertical="center"/>
      <protection hidden="1"/>
    </xf>
    <xf numFmtId="0" fontId="7" fillId="40" borderId="0" xfId="0" applyFont="1" applyFill="1" applyAlignment="1" applyProtection="1">
      <alignment horizontal="right"/>
      <protection hidden="1"/>
    </xf>
    <xf numFmtId="0" fontId="0" fillId="34" borderId="0" xfId="0" applyFill="1" applyAlignment="1" applyProtection="1">
      <alignment horizontal="left"/>
      <protection hidden="1"/>
    </xf>
    <xf numFmtId="0" fontId="51" fillId="39" borderId="0" xfId="0" applyFont="1" applyFill="1" applyAlignment="1" applyProtection="1">
      <alignment horizontal="right"/>
      <protection hidden="1"/>
    </xf>
    <xf numFmtId="0" fontId="51" fillId="39" borderId="0" xfId="0" applyFont="1" applyFill="1" applyAlignment="1" applyProtection="1">
      <alignment horizontal="right" vertical="center"/>
      <protection hidden="1"/>
    </xf>
    <xf numFmtId="0" fontId="1" fillId="39" borderId="0" xfId="0" applyFont="1" applyFill="1" applyAlignment="1" applyProtection="1">
      <alignment horizontal="center" vertical="center"/>
      <protection hidden="1"/>
    </xf>
    <xf numFmtId="0" fontId="1" fillId="39" borderId="0" xfId="0" applyFont="1" applyFill="1" applyAlignment="1" applyProtection="1">
      <alignment horizontal="left" vertical="center"/>
      <protection hidden="1"/>
    </xf>
    <xf numFmtId="0" fontId="1" fillId="39" borderId="0" xfId="0" applyFont="1" applyFill="1" applyAlignment="1" applyProtection="1">
      <alignment vertical="center"/>
      <protection hidden="1"/>
    </xf>
    <xf numFmtId="0" fontId="7" fillId="39" borderId="0" xfId="0" applyFont="1" applyFill="1" applyAlignment="1" applyProtection="1">
      <alignment horizontal="left" vertical="center"/>
      <protection hidden="1"/>
    </xf>
    <xf numFmtId="0" fontId="50" fillId="4" borderId="0" xfId="0" applyFont="1" applyFill="1" applyProtection="1">
      <protection hidden="1"/>
    </xf>
    <xf numFmtId="0" fontId="0" fillId="16" borderId="0" xfId="0" applyFill="1" applyAlignment="1" applyProtection="1">
      <alignment horizontal="left" indent="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1" borderId="0" xfId="0" applyFont="1" applyFill="1" applyProtection="1">
      <protection hidden="1"/>
    </xf>
    <xf numFmtId="0" fontId="5" fillId="21" borderId="0" xfId="0" applyFont="1" applyFill="1" applyAlignment="1" applyProtection="1">
      <alignment horizontal="right"/>
      <protection hidden="1"/>
    </xf>
    <xf numFmtId="166" fontId="5" fillId="21" borderId="0" xfId="0" applyNumberFormat="1" applyFont="1" applyFill="1" applyAlignment="1" applyProtection="1">
      <alignment horizontal="right"/>
      <protection hidden="1"/>
    </xf>
    <xf numFmtId="166" fontId="5" fillId="21" borderId="0" xfId="0" applyNumberFormat="1" applyFont="1" applyFill="1" applyProtection="1">
      <protection hidden="1"/>
    </xf>
    <xf numFmtId="0" fontId="5" fillId="13" borderId="0" xfId="0" applyFont="1" applyFill="1" applyAlignment="1" applyProtection="1">
      <alignment horizontal="left"/>
      <protection hidden="1"/>
    </xf>
    <xf numFmtId="0" fontId="5" fillId="23" borderId="13" xfId="0" applyFont="1" applyFill="1" applyBorder="1" applyAlignment="1" applyProtection="1">
      <alignment horizontal="center"/>
      <protection hidden="1"/>
    </xf>
    <xf numFmtId="0" fontId="5" fillId="23" borderId="14" xfId="0" applyFont="1" applyFill="1" applyBorder="1" applyAlignment="1" applyProtection="1">
      <alignment horizontal="center"/>
      <protection hidden="1"/>
    </xf>
    <xf numFmtId="0" fontId="5" fillId="23" borderId="15" xfId="0" applyFont="1" applyFill="1" applyBorder="1" applyAlignment="1" applyProtection="1">
      <alignment horizontal="center"/>
      <protection hidden="1"/>
    </xf>
    <xf numFmtId="0" fontId="5" fillId="23" borderId="11" xfId="0" applyFont="1" applyFill="1" applyBorder="1" applyAlignment="1" applyProtection="1">
      <alignment horizontal="center"/>
      <protection hidden="1"/>
    </xf>
    <xf numFmtId="0" fontId="5" fillId="17"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5" borderId="0" xfId="0" applyFont="1" applyFill="1" applyProtection="1">
      <protection hidden="1"/>
    </xf>
    <xf numFmtId="0" fontId="5" fillId="25"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40" borderId="1" xfId="0" applyFont="1" applyFill="1" applyBorder="1" applyAlignment="1" applyProtection="1">
      <alignment horizontal="center"/>
      <protection hidden="1"/>
    </xf>
    <xf numFmtId="0" fontId="1" fillId="18"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6" borderId="0" xfId="0" applyFont="1" applyFill="1" applyAlignment="1" applyProtection="1">
      <alignment horizontal="center" vertical="center" wrapText="1"/>
      <protection hidden="1"/>
    </xf>
    <xf numFmtId="0" fontId="5" fillId="2" borderId="3" xfId="0" applyFont="1" applyFill="1" applyBorder="1" applyProtection="1">
      <protection hidden="1"/>
    </xf>
    <xf numFmtId="0" fontId="1" fillId="19" borderId="0" xfId="0" applyFont="1" applyFill="1" applyAlignment="1" applyProtection="1">
      <alignment horizontal="left"/>
      <protection hidden="1"/>
    </xf>
    <xf numFmtId="0" fontId="4" fillId="19" borderId="0" xfId="0" applyFont="1" applyFill="1" applyProtection="1">
      <protection hidden="1"/>
    </xf>
    <xf numFmtId="0" fontId="23" fillId="2" borderId="0" xfId="0" applyFont="1" applyFill="1" applyProtection="1">
      <protection hidden="1"/>
    </xf>
    <xf numFmtId="0" fontId="1" fillId="19" borderId="0" xfId="0" applyFont="1" applyFill="1" applyAlignment="1" applyProtection="1">
      <alignment horizontal="right" indent="1"/>
      <protection hidden="1"/>
    </xf>
    <xf numFmtId="0" fontId="5" fillId="2" borderId="4" xfId="0" applyFont="1" applyFill="1" applyBorder="1" applyProtection="1">
      <protection hidden="1"/>
    </xf>
    <xf numFmtId="0" fontId="58" fillId="34" borderId="28" xfId="0" applyFont="1" applyFill="1" applyBorder="1" applyAlignment="1" applyProtection="1">
      <alignment horizontal="center" vertical="center"/>
      <protection hidden="1"/>
    </xf>
    <xf numFmtId="0" fontId="58" fillId="34" borderId="29" xfId="0" applyFont="1" applyFill="1" applyBorder="1" applyAlignment="1" applyProtection="1">
      <alignment vertical="center"/>
      <protection hidden="1"/>
    </xf>
    <xf numFmtId="0" fontId="58" fillId="34" borderId="27" xfId="0" applyFont="1" applyFill="1" applyBorder="1" applyAlignment="1" applyProtection="1">
      <alignment horizontal="center" vertical="center"/>
      <protection hidden="1"/>
    </xf>
    <xf numFmtId="0" fontId="58" fillId="34" borderId="31" xfId="0" applyFont="1" applyFill="1" applyBorder="1" applyAlignment="1" applyProtection="1">
      <alignment horizontal="center" vertical="center"/>
      <protection hidden="1"/>
    </xf>
    <xf numFmtId="0" fontId="58" fillId="34" borderId="32" xfId="0" applyFont="1" applyFill="1" applyBorder="1" applyAlignment="1" applyProtection="1">
      <alignment vertical="center"/>
      <protection hidden="1"/>
    </xf>
    <xf numFmtId="0" fontId="58" fillId="34" borderId="30" xfId="0" applyFont="1" applyFill="1" applyBorder="1" applyAlignment="1" applyProtection="1">
      <alignment horizontal="center" vertical="center"/>
      <protection hidden="1"/>
    </xf>
    <xf numFmtId="0" fontId="58" fillId="34" borderId="34" xfId="0" applyFont="1" applyFill="1" applyBorder="1" applyAlignment="1" applyProtection="1">
      <alignment horizontal="center" vertical="center"/>
      <protection hidden="1"/>
    </xf>
    <xf numFmtId="0" fontId="58" fillId="34" borderId="35" xfId="0" applyFont="1" applyFill="1" applyBorder="1" applyAlignment="1" applyProtection="1">
      <alignment vertical="center"/>
      <protection hidden="1"/>
    </xf>
    <xf numFmtId="0" fontId="58" fillId="34" borderId="33" xfId="0" applyFont="1" applyFill="1" applyBorder="1" applyAlignment="1" applyProtection="1">
      <alignment horizontal="center" vertical="center"/>
      <protection hidden="1"/>
    </xf>
    <xf numFmtId="0" fontId="1" fillId="29"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0" fontId="1" fillId="2" borderId="2" xfId="0" applyFont="1" applyFill="1" applyBorder="1" applyProtection="1">
      <protection hidden="1"/>
    </xf>
    <xf numFmtId="0" fontId="1" fillId="19"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2" fillId="2" borderId="3" xfId="0" applyFont="1" applyFill="1" applyBorder="1" applyAlignment="1" applyProtection="1">
      <alignment vertical="center" wrapText="1"/>
      <protection hidden="1"/>
    </xf>
    <xf numFmtId="0" fontId="5" fillId="40" borderId="0" xfId="0" applyFont="1" applyFill="1" applyProtection="1">
      <protection hidden="1"/>
    </xf>
    <xf numFmtId="0" fontId="20" fillId="17"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2" fillId="3" borderId="3" xfId="0" applyFont="1" applyFill="1" applyBorder="1" applyAlignment="1" applyProtection="1">
      <alignment horizontal="center"/>
      <protection locked="0" hidden="1"/>
    </xf>
    <xf numFmtId="12" fontId="8" fillId="20" borderId="0" xfId="0" applyNumberFormat="1" applyFont="1" applyFill="1" applyAlignment="1" applyProtection="1">
      <alignment vertical="center"/>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7" fillId="2" borderId="4" xfId="0" applyFont="1" applyFill="1" applyBorder="1" applyAlignment="1" applyProtection="1">
      <alignment horizontal="left"/>
      <protection hidden="1"/>
    </xf>
    <xf numFmtId="0" fontId="7" fillId="2" borderId="9" xfId="0" applyFont="1" applyFill="1" applyBorder="1" applyAlignment="1" applyProtection="1">
      <alignment horizontal="left"/>
      <protection hidden="1"/>
    </xf>
    <xf numFmtId="0" fontId="53" fillId="2" borderId="10" xfId="0" applyFont="1" applyFill="1" applyBorder="1" applyAlignment="1" applyProtection="1">
      <alignment horizontal="left"/>
      <protection hidden="1"/>
    </xf>
    <xf numFmtId="0" fontId="53" fillId="2" borderId="4" xfId="0" applyFont="1" applyFill="1" applyBorder="1" applyAlignment="1" applyProtection="1">
      <alignment horizontal="left"/>
      <protection hidden="1"/>
    </xf>
    <xf numFmtId="0" fontId="53" fillId="2" borderId="9" xfId="0" applyFont="1" applyFill="1" applyBorder="1" applyAlignment="1" applyProtection="1">
      <alignment horizontal="left"/>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7" fillId="23" borderId="0" xfId="0" applyFont="1" applyFill="1" applyAlignment="1" applyProtection="1">
      <alignment horizontal="center"/>
      <protection hidden="1"/>
    </xf>
    <xf numFmtId="0" fontId="0" fillId="23" borderId="0" xfId="0" applyFill="1" applyAlignment="1" applyProtection="1">
      <alignment horizontal="center"/>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vertical="top" wrapTex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12" fontId="43" fillId="20" borderId="0" xfId="0" applyNumberFormat="1" applyFont="1" applyFill="1" applyAlignment="1" applyProtection="1">
      <alignment vertical="center"/>
      <protection hidden="1"/>
    </xf>
    <xf numFmtId="0" fontId="4" fillId="20" borderId="0" xfId="0" applyFont="1" applyFill="1" applyProtection="1">
      <protection hidden="1"/>
    </xf>
    <xf numFmtId="0" fontId="0" fillId="20" borderId="0" xfId="0" applyFill="1" applyAlignment="1" applyProtection="1">
      <alignment horizontal="left" vertical="top"/>
      <protection hidden="1"/>
    </xf>
    <xf numFmtId="0" fontId="43" fillId="20" borderId="0" xfId="0" applyFont="1" applyFill="1" applyAlignment="1" applyProtection="1">
      <alignment horizontal="left" vertical="top"/>
      <protection hidden="1"/>
    </xf>
    <xf numFmtId="12" fontId="43" fillId="20" borderId="0" xfId="0" applyNumberFormat="1" applyFont="1" applyFill="1" applyAlignment="1" applyProtection="1">
      <alignment horizontal="left" vertical="top"/>
      <protection hidden="1"/>
    </xf>
    <xf numFmtId="1" fontId="11" fillId="20" borderId="15" xfId="0" applyNumberFormat="1" applyFont="1" applyFill="1" applyBorder="1" applyAlignment="1" applyProtection="1">
      <alignment horizontal="center" vertical="center"/>
      <protection hidden="1"/>
    </xf>
    <xf numFmtId="1" fontId="11" fillId="20" borderId="3" xfId="0" applyNumberFormat="1" applyFont="1" applyFill="1" applyBorder="1" applyAlignment="1" applyProtection="1">
      <alignment horizontal="center" vertical="center"/>
      <protection hidden="1"/>
    </xf>
    <xf numFmtId="1" fontId="11" fillId="20" borderId="8" xfId="0" applyNumberFormat="1" applyFont="1" applyFill="1" applyBorder="1" applyAlignment="1" applyProtection="1">
      <alignment horizontal="center" vertical="center"/>
      <protection hidden="1"/>
    </xf>
    <xf numFmtId="1" fontId="11" fillId="20" borderId="0" xfId="0" applyNumberFormat="1" applyFont="1" applyFill="1" applyAlignment="1" applyProtection="1">
      <alignment horizontal="center" vertical="center"/>
      <protection hidden="1"/>
    </xf>
    <xf numFmtId="1" fontId="11" fillId="20" borderId="2" xfId="0" applyNumberFormat="1" applyFont="1" applyFill="1" applyBorder="1" applyAlignment="1" applyProtection="1">
      <alignment horizontal="center" vertical="center"/>
      <protection hidden="1"/>
    </xf>
    <xf numFmtId="0" fontId="19" fillId="20" borderId="0" xfId="0" applyFont="1" applyFill="1" applyAlignment="1" applyProtection="1">
      <alignment vertical="center"/>
      <protection hidden="1"/>
    </xf>
    <xf numFmtId="0" fontId="43" fillId="28"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9" borderId="0" xfId="0" applyFont="1" applyFill="1" applyAlignment="1" applyProtection="1">
      <alignment horizontal="center"/>
      <protection hidden="1"/>
    </xf>
    <xf numFmtId="0" fontId="43" fillId="26" borderId="0" xfId="0" applyFont="1" applyFill="1" applyAlignment="1" applyProtection="1">
      <alignment horizontal="center"/>
      <protection hidden="1"/>
    </xf>
    <xf numFmtId="0" fontId="43" fillId="21" borderId="0" xfId="0" applyFont="1" applyFill="1" applyAlignment="1" applyProtection="1">
      <alignment horizontal="center"/>
      <protection hidden="1"/>
    </xf>
    <xf numFmtId="0" fontId="43" fillId="29"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6"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2" fillId="2" borderId="0" xfId="0" applyFont="1" applyFill="1" applyProtection="1">
      <protection hidden="1"/>
    </xf>
    <xf numFmtId="0" fontId="68" fillId="13" borderId="0" xfId="0" applyFont="1" applyFill="1" applyAlignment="1" applyProtection="1">
      <alignment horizontal="center"/>
      <protection hidden="1"/>
    </xf>
    <xf numFmtId="0" fontId="69" fillId="13" borderId="0" xfId="0" applyFont="1" applyFill="1" applyProtection="1">
      <protection hidden="1"/>
    </xf>
    <xf numFmtId="0" fontId="65" fillId="13" borderId="0" xfId="0" applyFont="1" applyFill="1" applyAlignment="1" applyProtection="1">
      <alignment horizontal="center"/>
      <protection hidden="1"/>
    </xf>
    <xf numFmtId="0" fontId="68" fillId="17"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20"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70" fillId="2" borderId="0" xfId="0" applyNumberFormat="1" applyFont="1" applyFill="1" applyAlignment="1" applyProtection="1">
      <alignment horizontal="center" vertical="center"/>
      <protection hidden="1"/>
    </xf>
    <xf numFmtId="0" fontId="71" fillId="2" borderId="0" xfId="0" applyFont="1" applyFill="1" applyProtection="1">
      <protection hidden="1"/>
    </xf>
    <xf numFmtId="0" fontId="16" fillId="21"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1" borderId="0" xfId="0" applyFont="1" applyFill="1" applyAlignment="1" applyProtection="1">
      <alignment horizontal="center"/>
      <protection hidden="1"/>
    </xf>
    <xf numFmtId="164" fontId="65" fillId="2" borderId="4" xfId="0" applyNumberFormat="1" applyFont="1" applyFill="1" applyBorder="1" applyAlignment="1" applyProtection="1">
      <alignment horizontal="center"/>
      <protection hidden="1"/>
    </xf>
    <xf numFmtId="165" fontId="65" fillId="2" borderId="4" xfId="0" applyNumberFormat="1" applyFont="1" applyFill="1" applyBorder="1" applyAlignment="1" applyProtection="1">
      <alignment horizontal="center"/>
      <protection hidden="1"/>
    </xf>
    <xf numFmtId="0" fontId="65" fillId="2" borderId="4" xfId="0" applyFont="1" applyFill="1" applyBorder="1" applyAlignment="1" applyProtection="1">
      <alignment horizontal="center"/>
      <protection hidden="1"/>
    </xf>
    <xf numFmtId="0" fontId="53" fillId="2" borderId="0" xfId="0" applyFont="1" applyFill="1" applyProtection="1">
      <protection hidden="1"/>
    </xf>
    <xf numFmtId="20" fontId="65" fillId="2" borderId="4" xfId="0" applyNumberFormat="1" applyFont="1" applyFill="1" applyBorder="1" applyAlignment="1" applyProtection="1">
      <alignment horizontal="right"/>
      <protection hidden="1"/>
    </xf>
    <xf numFmtId="20" fontId="65" fillId="2" borderId="4" xfId="0" applyNumberFormat="1" applyFont="1" applyFill="1" applyBorder="1" applyAlignment="1" applyProtection="1">
      <alignment horizontal="center"/>
      <protection hidden="1"/>
    </xf>
    <xf numFmtId="20" fontId="65"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20" borderId="0" xfId="0" applyFont="1" applyFill="1" applyProtection="1">
      <protection hidden="1"/>
    </xf>
    <xf numFmtId="0" fontId="16" fillId="20" borderId="0" xfId="0" applyFont="1" applyFill="1" applyProtection="1">
      <protection hidden="1"/>
    </xf>
    <xf numFmtId="0" fontId="11" fillId="20" borderId="5" xfId="0" applyFont="1" applyFill="1" applyBorder="1" applyProtection="1">
      <protection hidden="1"/>
    </xf>
    <xf numFmtId="0" fontId="11" fillId="20" borderId="13" xfId="0" applyFont="1" applyFill="1" applyBorder="1" applyAlignment="1" applyProtection="1">
      <alignment horizontal="center"/>
      <protection hidden="1"/>
    </xf>
    <xf numFmtId="0" fontId="11" fillId="20" borderId="5" xfId="0" applyFont="1" applyFill="1" applyBorder="1" applyAlignment="1" applyProtection="1">
      <alignment horizontal="center"/>
      <protection hidden="1"/>
    </xf>
    <xf numFmtId="0" fontId="11" fillId="20" borderId="2" xfId="0" applyFont="1" applyFill="1" applyBorder="1" applyAlignment="1" applyProtection="1">
      <alignment horizontal="center"/>
      <protection hidden="1"/>
    </xf>
    <xf numFmtId="0" fontId="11" fillId="20" borderId="14" xfId="0" applyFont="1" applyFill="1" applyBorder="1" applyAlignment="1" applyProtection="1">
      <alignment horizontal="center"/>
      <protection hidden="1"/>
    </xf>
    <xf numFmtId="0" fontId="11" fillId="20" borderId="5" xfId="0" applyFont="1" applyFill="1" applyBorder="1" applyAlignment="1" applyProtection="1">
      <alignment horizontal="center" vertical="center"/>
      <protection hidden="1"/>
    </xf>
    <xf numFmtId="0" fontId="11" fillId="20" borderId="6" xfId="0" applyFont="1" applyFill="1" applyBorder="1" applyProtection="1">
      <protection hidden="1"/>
    </xf>
    <xf numFmtId="0" fontId="11" fillId="20" borderId="8" xfId="0" applyFont="1" applyFill="1" applyBorder="1" applyAlignment="1" applyProtection="1">
      <alignment horizontal="center"/>
      <protection hidden="1"/>
    </xf>
    <xf numFmtId="0" fontId="11" fillId="20" borderId="0" xfId="0" applyFont="1" applyFill="1" applyAlignment="1" applyProtection="1">
      <alignment horizontal="center"/>
      <protection hidden="1"/>
    </xf>
    <xf numFmtId="1" fontId="11" fillId="20" borderId="0" xfId="0" applyNumberFormat="1" applyFont="1" applyFill="1" applyAlignment="1" applyProtection="1">
      <alignment horizontal="center"/>
      <protection hidden="1"/>
    </xf>
    <xf numFmtId="0" fontId="11" fillId="20" borderId="6" xfId="0" applyFont="1" applyFill="1" applyBorder="1" applyAlignment="1" applyProtection="1">
      <alignment horizontal="center"/>
      <protection hidden="1"/>
    </xf>
    <xf numFmtId="0" fontId="11" fillId="20" borderId="12" xfId="0" applyFont="1" applyFill="1" applyBorder="1" applyAlignment="1" applyProtection="1">
      <alignment horizontal="center"/>
      <protection hidden="1"/>
    </xf>
    <xf numFmtId="0" fontId="11" fillId="20" borderId="6" xfId="0" applyFont="1" applyFill="1" applyBorder="1" applyAlignment="1" applyProtection="1">
      <alignment horizontal="center" vertical="center"/>
      <protection hidden="1"/>
    </xf>
    <xf numFmtId="0" fontId="11" fillId="20" borderId="7" xfId="0" applyFont="1" applyFill="1" applyBorder="1" applyProtection="1">
      <protection hidden="1"/>
    </xf>
    <xf numFmtId="0" fontId="11" fillId="20" borderId="15" xfId="0" applyFont="1" applyFill="1" applyBorder="1" applyAlignment="1" applyProtection="1">
      <alignment horizontal="center"/>
      <protection hidden="1"/>
    </xf>
    <xf numFmtId="0" fontId="11" fillId="20" borderId="3" xfId="0" applyFont="1" applyFill="1" applyBorder="1" applyAlignment="1" applyProtection="1">
      <alignment horizontal="center"/>
      <protection hidden="1"/>
    </xf>
    <xf numFmtId="0" fontId="11" fillId="20" borderId="7" xfId="0" applyFont="1" applyFill="1" applyBorder="1" applyAlignment="1" applyProtection="1">
      <alignment horizontal="center" vertical="center"/>
      <protection hidden="1"/>
    </xf>
    <xf numFmtId="12" fontId="11" fillId="20" borderId="0" xfId="0" applyNumberFormat="1" applyFont="1" applyFill="1" applyAlignment="1" applyProtection="1">
      <alignment vertical="center"/>
      <protection hidden="1"/>
    </xf>
    <xf numFmtId="0" fontId="11" fillId="20" borderId="0" xfId="0" applyFont="1" applyFill="1" applyAlignment="1" applyProtection="1">
      <alignment horizontal="center" vertical="center"/>
      <protection hidden="1"/>
    </xf>
    <xf numFmtId="0" fontId="11" fillId="20" borderId="0" xfId="0" applyFont="1" applyFill="1" applyAlignment="1" applyProtection="1">
      <alignment horizontal="center" vertical="center" textRotation="90"/>
      <protection hidden="1"/>
    </xf>
    <xf numFmtId="0" fontId="11" fillId="20" borderId="0" xfId="0" applyFont="1" applyFill="1" applyAlignment="1" applyProtection="1">
      <alignment vertical="center"/>
      <protection hidden="1"/>
    </xf>
    <xf numFmtId="0" fontId="16" fillId="33" borderId="0" xfId="0" applyFont="1" applyFill="1" applyAlignment="1" applyProtection="1">
      <alignment horizontal="center"/>
      <protection hidden="1"/>
    </xf>
    <xf numFmtId="0" fontId="11" fillId="33" borderId="0" xfId="0" applyFont="1" applyFill="1" applyAlignment="1" applyProtection="1">
      <alignment horizontal="center"/>
      <protection hidden="1"/>
    </xf>
    <xf numFmtId="0" fontId="11" fillId="7" borderId="0" xfId="0" applyFont="1" applyFill="1" applyProtection="1">
      <protection hidden="1"/>
    </xf>
    <xf numFmtId="0" fontId="16" fillId="33" borderId="0" xfId="0" applyFont="1" applyFill="1" applyAlignment="1" applyProtection="1">
      <alignment horizontal="left"/>
      <protection hidden="1"/>
    </xf>
    <xf numFmtId="0" fontId="11" fillId="33" borderId="0" xfId="0" applyFont="1" applyFill="1" applyProtection="1">
      <protection hidden="1"/>
    </xf>
    <xf numFmtId="0" fontId="11" fillId="4" borderId="0" xfId="0" applyFont="1" applyFill="1" applyProtection="1">
      <protection hidden="1"/>
    </xf>
    <xf numFmtId="1" fontId="11" fillId="20" borderId="5" xfId="0" applyNumberFormat="1" applyFont="1" applyFill="1" applyBorder="1" applyAlignment="1" applyProtection="1">
      <alignment horizontal="center" vertical="center"/>
      <protection hidden="1"/>
    </xf>
    <xf numFmtId="1" fontId="11" fillId="20" borderId="14" xfId="0" applyNumberFormat="1" applyFont="1" applyFill="1" applyBorder="1" applyAlignment="1" applyProtection="1">
      <alignment horizontal="center" vertical="center"/>
      <protection hidden="1"/>
    </xf>
    <xf numFmtId="1" fontId="11" fillId="20" borderId="6" xfId="0" applyNumberFormat="1" applyFont="1" applyFill="1" applyBorder="1" applyAlignment="1" applyProtection="1">
      <alignment horizontal="center" vertical="center"/>
      <protection hidden="1"/>
    </xf>
    <xf numFmtId="1" fontId="11" fillId="20" borderId="12" xfId="0" applyNumberFormat="1" applyFont="1" applyFill="1" applyBorder="1" applyAlignment="1" applyProtection="1">
      <alignment horizontal="center" vertical="center"/>
      <protection hidden="1"/>
    </xf>
    <xf numFmtId="1" fontId="11" fillId="20" borderId="7" xfId="0" applyNumberFormat="1" applyFont="1" applyFill="1" applyBorder="1" applyAlignment="1" applyProtection="1">
      <alignment horizontal="center" vertical="center"/>
      <protection hidden="1"/>
    </xf>
    <xf numFmtId="1" fontId="11" fillId="20" borderId="11" xfId="0" applyNumberFormat="1" applyFont="1" applyFill="1" applyBorder="1" applyAlignment="1" applyProtection="1">
      <alignment horizontal="center" vertical="center"/>
      <protection hidden="1"/>
    </xf>
    <xf numFmtId="0" fontId="16" fillId="10" borderId="0" xfId="0" applyFont="1" applyFill="1" applyAlignment="1" applyProtection="1">
      <alignment horizontal="center"/>
      <protection hidden="1"/>
    </xf>
    <xf numFmtId="0" fontId="11" fillId="29" borderId="0" xfId="0" applyFont="1" applyFill="1" applyAlignment="1" applyProtection="1">
      <alignment horizontal="center"/>
      <protection hidden="1"/>
    </xf>
    <xf numFmtId="0" fontId="16" fillId="29" borderId="0" xfId="0" applyFont="1" applyFill="1" applyAlignment="1" applyProtection="1">
      <alignment horizontal="left"/>
      <protection hidden="1"/>
    </xf>
    <xf numFmtId="1" fontId="11" fillId="29" borderId="0" xfId="0" applyNumberFormat="1" applyFont="1" applyFill="1" applyAlignment="1" applyProtection="1">
      <alignment horizontal="right"/>
      <protection hidden="1"/>
    </xf>
    <xf numFmtId="0" fontId="11" fillId="26" borderId="0" xfId="0" applyFont="1" applyFill="1" applyAlignment="1" applyProtection="1">
      <alignment horizontal="center"/>
      <protection hidden="1"/>
    </xf>
    <xf numFmtId="0" fontId="11" fillId="29" borderId="0" xfId="0" applyFont="1" applyFill="1" applyAlignment="1" applyProtection="1">
      <alignment horizontal="left"/>
      <protection hidden="1"/>
    </xf>
    <xf numFmtId="1" fontId="11" fillId="26" borderId="0" xfId="0" applyNumberFormat="1" applyFont="1" applyFill="1" applyAlignment="1" applyProtection="1">
      <alignment horizontal="center" vertical="center"/>
      <protection hidden="1"/>
    </xf>
    <xf numFmtId="0" fontId="73" fillId="28" borderId="0" xfId="0" applyFont="1" applyFill="1" applyAlignment="1" applyProtection="1">
      <alignment horizontal="left" indent="1"/>
      <protection hidden="1"/>
    </xf>
    <xf numFmtId="0" fontId="11" fillId="40" borderId="0" xfId="0" applyFont="1" applyFill="1" applyAlignment="1" applyProtection="1">
      <alignment horizontal="center"/>
      <protection hidden="1"/>
    </xf>
    <xf numFmtId="0" fontId="21" fillId="20" borderId="0" xfId="0" applyFont="1" applyFill="1" applyProtection="1">
      <protection hidden="1"/>
    </xf>
    <xf numFmtId="0" fontId="11" fillId="20" borderId="5" xfId="0" applyFont="1" applyFill="1" applyBorder="1" applyAlignment="1" applyProtection="1">
      <alignment vertical="center"/>
      <protection hidden="1"/>
    </xf>
    <xf numFmtId="0" fontId="11" fillId="20" borderId="6" xfId="0" applyFont="1" applyFill="1" applyBorder="1" applyAlignment="1" applyProtection="1">
      <alignment vertical="center"/>
      <protection hidden="1"/>
    </xf>
    <xf numFmtId="0" fontId="11" fillId="20" borderId="7" xfId="0" applyFont="1" applyFill="1" applyBorder="1" applyAlignment="1" applyProtection="1">
      <alignment vertical="center"/>
      <protection hidden="1"/>
    </xf>
    <xf numFmtId="0" fontId="74" fillId="20" borderId="0" xfId="0" applyFont="1" applyFill="1" applyAlignment="1" applyProtection="1">
      <alignment vertical="center"/>
      <protection hidden="1"/>
    </xf>
    <xf numFmtId="0" fontId="66" fillId="13" borderId="2" xfId="0" applyFont="1" applyFill="1" applyBorder="1" applyAlignment="1" applyProtection="1">
      <alignment horizontal="center"/>
      <protection hidden="1"/>
    </xf>
    <xf numFmtId="0" fontId="66" fillId="13" borderId="2" xfId="0" applyFont="1" applyFill="1" applyBorder="1" applyAlignment="1" applyProtection="1">
      <alignment horizontal="left"/>
      <protection hidden="1"/>
    </xf>
    <xf numFmtId="0" fontId="65" fillId="13" borderId="2" xfId="0" applyFont="1" applyFill="1" applyBorder="1" applyAlignment="1" applyProtection="1">
      <alignment horizontal="center"/>
      <protection hidden="1"/>
    </xf>
    <xf numFmtId="0" fontId="65" fillId="13" borderId="0" xfId="0" applyFont="1" applyFill="1" applyAlignment="1" applyProtection="1">
      <alignment horizontal="left"/>
      <protection hidden="1"/>
    </xf>
    <xf numFmtId="0" fontId="65" fillId="13" borderId="3" xfId="0" applyFont="1" applyFill="1" applyBorder="1" applyAlignment="1" applyProtection="1">
      <alignment horizontal="center"/>
      <protection hidden="1"/>
    </xf>
    <xf numFmtId="0" fontId="65" fillId="13" borderId="3" xfId="0" applyFont="1" applyFill="1" applyBorder="1" applyAlignment="1" applyProtection="1">
      <alignment horizontal="left"/>
      <protection hidden="1"/>
    </xf>
    <xf numFmtId="0" fontId="66" fillId="2" borderId="1" xfId="0" applyFont="1" applyFill="1" applyBorder="1" applyAlignment="1" applyProtection="1">
      <alignment horizontal="left"/>
      <protection hidden="1"/>
    </xf>
    <xf numFmtId="0" fontId="65" fillId="13" borderId="0" xfId="0" applyFont="1" applyFill="1" applyAlignment="1" applyProtection="1">
      <alignment horizontal="right"/>
      <protection hidden="1"/>
    </xf>
    <xf numFmtId="0" fontId="66" fillId="13" borderId="0" xfId="0" applyFont="1" applyFill="1" applyAlignment="1" applyProtection="1">
      <alignment horizontal="left"/>
      <protection hidden="1"/>
    </xf>
    <xf numFmtId="0" fontId="53" fillId="21"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5"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2" borderId="0" xfId="1" applyFont="1" applyFill="1" applyBorder="1" applyAlignment="1">
      <alignment horizontal="left"/>
    </xf>
    <xf numFmtId="0" fontId="0" fillId="22" borderId="0" xfId="0" applyFill="1"/>
    <xf numFmtId="0" fontId="1" fillId="22" borderId="0" xfId="0" applyFont="1" applyFill="1" applyAlignment="1" applyProtection="1">
      <alignment horizontal="left"/>
      <protection hidden="1"/>
    </xf>
    <xf numFmtId="0" fontId="2" fillId="22" borderId="0" xfId="0" applyFont="1" applyFill="1" applyAlignment="1" applyProtection="1">
      <alignment horizontal="left"/>
      <protection hidden="1"/>
    </xf>
    <xf numFmtId="0" fontId="1" fillId="22" borderId="0" xfId="0" applyFont="1" applyFill="1" applyProtection="1">
      <protection hidden="1"/>
    </xf>
    <xf numFmtId="0" fontId="41" fillId="6" borderId="0" xfId="0" applyFont="1" applyFill="1" applyAlignment="1" applyProtection="1">
      <alignment horizontal="center"/>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5" fillId="17" borderId="0" xfId="0" applyFont="1" applyFill="1" applyAlignment="1" applyProtection="1">
      <alignment horizontal="center"/>
      <protection hidden="1"/>
    </xf>
    <xf numFmtId="0" fontId="0" fillId="26" borderId="0" xfId="0" applyFill="1" applyProtection="1">
      <protection hidden="1"/>
    </xf>
    <xf numFmtId="0" fontId="1" fillId="26" borderId="0" xfId="0" applyFont="1" applyFill="1" applyProtection="1">
      <protection hidden="1"/>
    </xf>
    <xf numFmtId="0" fontId="2" fillId="26"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41" borderId="3" xfId="0" applyFont="1" applyFill="1" applyBorder="1" applyAlignment="1">
      <alignment horizontal="center"/>
    </xf>
    <xf numFmtId="0" fontId="1" fillId="41" borderId="3" xfId="0" applyFont="1" applyFill="1" applyBorder="1"/>
    <xf numFmtId="0" fontId="0" fillId="12" borderId="0" xfId="0" applyFill="1" applyAlignment="1">
      <alignment horizontal="center"/>
    </xf>
    <xf numFmtId="0" fontId="0" fillId="12" borderId="0" xfId="0" applyFill="1"/>
    <xf numFmtId="0" fontId="0" fillId="42" borderId="0" xfId="0" applyFill="1"/>
    <xf numFmtId="0" fontId="39" fillId="42" borderId="0" xfId="0" applyFont="1" applyFill="1" applyAlignment="1">
      <alignment horizontal="center"/>
    </xf>
    <xf numFmtId="0" fontId="39" fillId="12" borderId="0" xfId="0" applyFont="1" applyFill="1" applyAlignment="1">
      <alignment horizontal="center"/>
    </xf>
    <xf numFmtId="0" fontId="80" fillId="42" borderId="0" xfId="0" applyFont="1" applyFill="1" applyAlignment="1">
      <alignment horizontal="left"/>
    </xf>
    <xf numFmtId="0" fontId="11" fillId="12" borderId="0" xfId="0" applyFont="1" applyFill="1"/>
    <xf numFmtId="0" fontId="11" fillId="42" borderId="0" xfId="0" applyFont="1" applyFill="1"/>
    <xf numFmtId="0" fontId="81" fillId="42" borderId="0" xfId="0" applyFont="1" applyFill="1" applyAlignment="1">
      <alignment horizontal="center"/>
    </xf>
    <xf numFmtId="0" fontId="43" fillId="42" borderId="8" xfId="0" applyFont="1" applyFill="1" applyBorder="1"/>
    <xf numFmtId="0" fontId="43" fillId="42"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2" borderId="0" xfId="0" applyFont="1" applyFill="1" applyAlignment="1">
      <alignment horizontal="center"/>
    </xf>
    <xf numFmtId="0" fontId="1" fillId="42" borderId="0" xfId="0" applyFont="1" applyFill="1"/>
    <xf numFmtId="0" fontId="80" fillId="12" borderId="0" xfId="0" applyFont="1" applyFill="1" applyAlignment="1">
      <alignment horizontal="center"/>
    </xf>
    <xf numFmtId="0" fontId="1" fillId="12" borderId="0" xfId="0" applyFont="1" applyFill="1"/>
    <xf numFmtId="0" fontId="84" fillId="42" borderId="0" xfId="0" applyFont="1" applyFill="1" applyAlignment="1">
      <alignment horizontal="center"/>
    </xf>
    <xf numFmtId="0" fontId="84" fillId="12" borderId="0" xfId="0" applyFont="1" applyFill="1" applyAlignment="1">
      <alignment horizontal="center"/>
    </xf>
    <xf numFmtId="0" fontId="85" fillId="42" borderId="0" xfId="0" applyFont="1" applyFill="1" applyAlignment="1">
      <alignment horizontal="center"/>
    </xf>
    <xf numFmtId="0" fontId="85" fillId="12" borderId="0" xfId="0" applyFont="1" applyFill="1" applyAlignment="1">
      <alignment horizontal="center"/>
    </xf>
    <xf numFmtId="0" fontId="8" fillId="42" borderId="0" xfId="0" applyFont="1" applyFill="1"/>
    <xf numFmtId="0" fontId="8" fillId="12" borderId="0" xfId="0" applyFont="1" applyFill="1"/>
    <xf numFmtId="0" fontId="87" fillId="41" borderId="0" xfId="0" applyFont="1" applyFill="1"/>
    <xf numFmtId="0" fontId="86" fillId="41" borderId="8" xfId="0" applyFont="1" applyFill="1" applyBorder="1" applyAlignment="1">
      <alignment horizontal="left" indent="1"/>
    </xf>
    <xf numFmtId="0" fontId="86" fillId="41" borderId="0" xfId="0" applyFont="1" applyFill="1" applyAlignment="1">
      <alignment horizontal="left" indent="1"/>
    </xf>
    <xf numFmtId="0" fontId="16" fillId="41" borderId="3" xfId="0" applyFont="1" applyFill="1" applyBorder="1" applyAlignment="1">
      <alignment horizontal="center"/>
    </xf>
    <xf numFmtId="0" fontId="16" fillId="41" borderId="3" xfId="0" applyFont="1" applyFill="1" applyBorder="1"/>
    <xf numFmtId="0" fontId="11" fillId="12" borderId="0" xfId="0" applyFont="1" applyFill="1" applyAlignment="1">
      <alignment horizontal="center"/>
    </xf>
    <xf numFmtId="0" fontId="89" fillId="42" borderId="0" xfId="0" applyFont="1" applyFill="1" applyAlignment="1">
      <alignment horizontal="left"/>
    </xf>
    <xf numFmtId="0" fontId="89" fillId="42" borderId="0" xfId="0" applyFont="1" applyFill="1" applyAlignment="1">
      <alignment horizontal="center"/>
    </xf>
    <xf numFmtId="0" fontId="16" fillId="42"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2" borderId="0" xfId="0" applyFont="1" applyFill="1" applyAlignment="1">
      <alignment horizontal="center"/>
    </xf>
    <xf numFmtId="0" fontId="91" fillId="42"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1" borderId="0" xfId="0" applyFont="1" applyFill="1" applyProtection="1">
      <protection hidden="1"/>
    </xf>
    <xf numFmtId="0" fontId="9" fillId="31"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2"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7" borderId="0" xfId="0" applyFont="1" applyFill="1" applyProtection="1">
      <protection hidden="1"/>
    </xf>
    <xf numFmtId="0" fontId="0" fillId="17" borderId="12" xfId="0" applyFill="1" applyBorder="1" applyProtection="1">
      <protection hidden="1"/>
    </xf>
    <xf numFmtId="0" fontId="96" fillId="17" borderId="12" xfId="0" applyFont="1" applyFill="1" applyBorder="1" applyProtection="1">
      <protection hidden="1"/>
    </xf>
    <xf numFmtId="0" fontId="95" fillId="17" borderId="12" xfId="0" applyFont="1" applyFill="1" applyBorder="1" applyProtection="1">
      <protection hidden="1"/>
    </xf>
    <xf numFmtId="0" fontId="96" fillId="17" borderId="8" xfId="0" applyFont="1" applyFill="1" applyBorder="1" applyProtection="1">
      <protection hidden="1"/>
    </xf>
    <xf numFmtId="0" fontId="95" fillId="17"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2"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4"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94" fillId="2" borderId="0" xfId="0" applyFont="1" applyFill="1" applyAlignment="1" applyProtection="1">
      <alignment vertical="top" wrapText="1"/>
      <protection hidden="1"/>
    </xf>
    <xf numFmtId="0" fontId="0" fillId="10" borderId="3" xfId="0" applyFill="1" applyBorder="1" applyProtection="1">
      <protection hidden="1"/>
    </xf>
    <xf numFmtId="0" fontId="20" fillId="17"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8" xfId="0" applyFont="1" applyFill="1" applyBorder="1" applyAlignment="1">
      <alignment horizontal="right"/>
    </xf>
    <xf numFmtId="0" fontId="16" fillId="10" borderId="39" xfId="0" applyFont="1" applyFill="1" applyBorder="1" applyAlignment="1">
      <alignment horizontal="left"/>
    </xf>
    <xf numFmtId="0" fontId="11" fillId="10" borderId="38" xfId="0" applyFont="1" applyFill="1" applyBorder="1"/>
    <xf numFmtId="0" fontId="11" fillId="10" borderId="40" xfId="0" applyFont="1" applyFill="1" applyBorder="1" applyAlignment="1">
      <alignment horizontal="left"/>
    </xf>
    <xf numFmtId="0" fontId="84" fillId="10" borderId="41" xfId="0" applyFont="1" applyFill="1" applyBorder="1" applyAlignment="1">
      <alignment horizontal="right"/>
    </xf>
    <xf numFmtId="0" fontId="11" fillId="10" borderId="42" xfId="0" applyFont="1" applyFill="1" applyBorder="1" applyAlignment="1">
      <alignment horizontal="left"/>
    </xf>
    <xf numFmtId="0" fontId="11" fillId="10" borderId="41" xfId="0" applyFont="1" applyFill="1" applyBorder="1"/>
    <xf numFmtId="0" fontId="11" fillId="10" borderId="43" xfId="0" applyFont="1" applyFill="1" applyBorder="1" applyAlignment="1">
      <alignment horizontal="left"/>
    </xf>
    <xf numFmtId="0" fontId="84" fillId="10" borderId="44" xfId="0" applyFont="1" applyFill="1" applyBorder="1" applyAlignment="1">
      <alignment horizontal="right"/>
    </xf>
    <xf numFmtId="0" fontId="11" fillId="10" borderId="45" xfId="0" applyFont="1" applyFill="1" applyBorder="1" applyAlignment="1">
      <alignment horizontal="left"/>
    </xf>
    <xf numFmtId="0" fontId="11" fillId="10" borderId="44" xfId="0" applyFont="1" applyFill="1" applyBorder="1"/>
    <xf numFmtId="0" fontId="11" fillId="10" borderId="46" xfId="0" applyFont="1" applyFill="1" applyBorder="1" applyAlignment="1">
      <alignment horizontal="left"/>
    </xf>
    <xf numFmtId="0" fontId="89" fillId="21" borderId="38" xfId="0" applyFont="1" applyFill="1" applyBorder="1" applyAlignment="1">
      <alignment horizontal="right"/>
    </xf>
    <xf numFmtId="0" fontId="16" fillId="21" borderId="39" xfId="0" applyFont="1" applyFill="1" applyBorder="1" applyAlignment="1">
      <alignment horizontal="left"/>
    </xf>
    <xf numFmtId="0" fontId="11" fillId="21" borderId="38" xfId="0" applyFont="1" applyFill="1" applyBorder="1"/>
    <xf numFmtId="0" fontId="11" fillId="21" borderId="40" xfId="0" applyFont="1" applyFill="1" applyBorder="1" applyAlignment="1">
      <alignment horizontal="left"/>
    </xf>
    <xf numFmtId="0" fontId="84" fillId="21" borderId="41" xfId="0" applyFont="1" applyFill="1" applyBorder="1" applyAlignment="1">
      <alignment horizontal="right"/>
    </xf>
    <xf numFmtId="0" fontId="11" fillId="21" borderId="42" xfId="0" applyFont="1" applyFill="1" applyBorder="1" applyAlignment="1">
      <alignment horizontal="left"/>
    </xf>
    <xf numFmtId="0" fontId="11" fillId="21" borderId="41" xfId="0" applyFont="1" applyFill="1" applyBorder="1"/>
    <xf numFmtId="0" fontId="11" fillId="21" borderId="43" xfId="0" applyFont="1" applyFill="1" applyBorder="1" applyAlignment="1">
      <alignment horizontal="left"/>
    </xf>
    <xf numFmtId="0" fontId="84" fillId="21" borderId="44" xfId="0" applyFont="1" applyFill="1" applyBorder="1" applyAlignment="1">
      <alignment horizontal="right"/>
    </xf>
    <xf numFmtId="0" fontId="11" fillId="21" borderId="45" xfId="0" applyFont="1" applyFill="1" applyBorder="1" applyAlignment="1">
      <alignment horizontal="left"/>
    </xf>
    <xf numFmtId="0" fontId="11" fillId="21" borderId="44" xfId="0" applyFont="1" applyFill="1" applyBorder="1"/>
    <xf numFmtId="0" fontId="11" fillId="21" borderId="46"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2" borderId="47" xfId="0" applyFont="1" applyFill="1" applyBorder="1" applyAlignment="1">
      <alignment horizontal="center"/>
    </xf>
    <xf numFmtId="0" fontId="11" fillId="11" borderId="47" xfId="0" applyFont="1" applyFill="1" applyBorder="1" applyAlignment="1">
      <alignment horizontal="center"/>
    </xf>
    <xf numFmtId="0" fontId="11" fillId="22" borderId="48" xfId="0" applyFont="1" applyFill="1" applyBorder="1" applyAlignment="1">
      <alignment horizontal="center"/>
    </xf>
    <xf numFmtId="0" fontId="11" fillId="11" borderId="48" xfId="0" applyFont="1" applyFill="1" applyBorder="1" applyAlignment="1">
      <alignment horizontal="center"/>
    </xf>
    <xf numFmtId="0" fontId="11" fillId="22" borderId="49" xfId="0" applyFont="1" applyFill="1" applyBorder="1" applyAlignment="1">
      <alignment horizontal="center"/>
    </xf>
    <xf numFmtId="0" fontId="11" fillId="11" borderId="49" xfId="0" applyFont="1" applyFill="1" applyBorder="1" applyAlignment="1">
      <alignment horizontal="center"/>
    </xf>
    <xf numFmtId="0" fontId="66"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11" fillId="44" borderId="7" xfId="0" applyFont="1" applyFill="1" applyBorder="1" applyAlignment="1" applyProtection="1">
      <alignment horizontal="center"/>
      <protection hidden="1"/>
    </xf>
    <xf numFmtId="0" fontId="92" fillId="24" borderId="13" xfId="0" applyFont="1" applyFill="1" applyBorder="1" applyProtection="1">
      <protection hidden="1"/>
    </xf>
    <xf numFmtId="0" fontId="54" fillId="24" borderId="14" xfId="0" applyFont="1" applyFill="1" applyBorder="1" applyAlignment="1" applyProtection="1">
      <alignment horizontal="center"/>
      <protection hidden="1"/>
    </xf>
    <xf numFmtId="0" fontId="17" fillId="24" borderId="5" xfId="0" applyFont="1" applyFill="1" applyBorder="1" applyAlignment="1" applyProtection="1">
      <alignment horizontal="center"/>
      <protection hidden="1"/>
    </xf>
    <xf numFmtId="0" fontId="11" fillId="24" borderId="8" xfId="0" applyFont="1" applyFill="1" applyBorder="1" applyProtection="1">
      <protection hidden="1"/>
    </xf>
    <xf numFmtId="0" fontId="11" fillId="24" borderId="12" xfId="0" applyFont="1" applyFill="1" applyBorder="1" applyAlignment="1" applyProtection="1">
      <alignment horizontal="center"/>
      <protection hidden="1"/>
    </xf>
    <xf numFmtId="0" fontId="17" fillId="24" borderId="6" xfId="0" applyFont="1" applyFill="1" applyBorder="1" applyAlignment="1" applyProtection="1">
      <alignment horizontal="center"/>
      <protection hidden="1"/>
    </xf>
    <xf numFmtId="0" fontId="11" fillId="24" borderId="6" xfId="0" applyFont="1" applyFill="1" applyBorder="1" applyAlignment="1" applyProtection="1">
      <alignment horizontal="center"/>
      <protection hidden="1"/>
    </xf>
    <xf numFmtId="0" fontId="11" fillId="24" borderId="15" xfId="0" applyFont="1" applyFill="1" applyBorder="1" applyProtection="1">
      <protection hidden="1"/>
    </xf>
    <xf numFmtId="0" fontId="11" fillId="24" borderId="11" xfId="0" applyFont="1" applyFill="1" applyBorder="1" applyAlignment="1" applyProtection="1">
      <alignment horizontal="center"/>
      <protection hidden="1"/>
    </xf>
    <xf numFmtId="0" fontId="11" fillId="24" borderId="7" xfId="0" applyFont="1" applyFill="1" applyBorder="1" applyAlignment="1" applyProtection="1">
      <alignment horizontal="center"/>
      <protection hidden="1"/>
    </xf>
    <xf numFmtId="0" fontId="92" fillId="45" borderId="13" xfId="0" applyFont="1" applyFill="1" applyBorder="1" applyProtection="1">
      <protection hidden="1"/>
    </xf>
    <xf numFmtId="0" fontId="54" fillId="45" borderId="14" xfId="0" applyFont="1" applyFill="1" applyBorder="1" applyAlignment="1" applyProtection="1">
      <alignment horizontal="center"/>
      <protection hidden="1"/>
    </xf>
    <xf numFmtId="0" fontId="11" fillId="45" borderId="8" xfId="0" applyFont="1" applyFill="1" applyBorder="1" applyProtection="1">
      <protection hidden="1"/>
    </xf>
    <xf numFmtId="0" fontId="11" fillId="45" borderId="12" xfId="0" applyFont="1" applyFill="1" applyBorder="1" applyAlignment="1" applyProtection="1">
      <alignment horizontal="center"/>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7" fillId="46" borderId="5"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17" fillId="46" borderId="6" xfId="0" applyFont="1" applyFill="1" applyBorder="1" applyAlignment="1" applyProtection="1">
      <alignment horizontal="center"/>
      <protection hidden="1"/>
    </xf>
    <xf numFmtId="0" fontId="11" fillId="46"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1" fillId="21" borderId="0" xfId="0" applyFont="1" applyFill="1" applyAlignment="1" applyProtection="1">
      <alignment horizontal="left"/>
      <protection hidden="1"/>
    </xf>
    <xf numFmtId="0" fontId="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92" fillId="48" borderId="13" xfId="0" applyFont="1" applyFill="1" applyBorder="1" applyProtection="1">
      <protection hidden="1"/>
    </xf>
    <xf numFmtId="0" fontId="54" fillId="48" borderId="14" xfId="0" applyFont="1" applyFill="1" applyBorder="1" applyAlignment="1" applyProtection="1">
      <alignment horizontal="center"/>
      <protection hidden="1"/>
    </xf>
    <xf numFmtId="0" fontId="11" fillId="48" borderId="8" xfId="0" applyFont="1" applyFill="1" applyBorder="1" applyProtection="1">
      <protection hidden="1"/>
    </xf>
    <xf numFmtId="0" fontId="11" fillId="48"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5"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9"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9" borderId="0" xfId="0" applyFont="1" applyFill="1" applyAlignment="1" applyProtection="1">
      <alignment horizontal="center"/>
      <protection hidden="1"/>
    </xf>
    <xf numFmtId="0" fontId="11" fillId="19" borderId="0" xfId="0" applyFont="1" applyFill="1" applyAlignment="1" applyProtection="1">
      <alignment horizontal="center" vertical="center"/>
      <protection hidden="1"/>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16" fillId="2" borderId="1" xfId="0" applyFont="1" applyFill="1" applyBorder="1" applyAlignment="1" applyProtection="1">
      <alignment horizontal="center"/>
      <protection hidden="1"/>
    </xf>
    <xf numFmtId="0" fontId="0" fillId="2" borderId="0" xfId="0" applyFill="1" applyAlignment="1" applyProtection="1">
      <alignment horizontal="center"/>
      <protection hidden="1"/>
    </xf>
    <xf numFmtId="0" fontId="51" fillId="2" borderId="1" xfId="0" applyFont="1" applyFill="1" applyBorder="1" applyAlignment="1" applyProtection="1">
      <alignment horizontal="center" vertical="center"/>
      <protection hidden="1"/>
    </xf>
    <xf numFmtId="0" fontId="51" fillId="39" borderId="0" xfId="0" applyFont="1" applyFill="1" applyAlignment="1" applyProtection="1">
      <alignment horizontal="center"/>
      <protection hidden="1"/>
    </xf>
    <xf numFmtId="0" fontId="52" fillId="21" borderId="0" xfId="0" applyFont="1" applyFill="1" applyAlignment="1" applyProtection="1">
      <alignment horizontal="center" vertical="center"/>
      <protection hidden="1"/>
    </xf>
    <xf numFmtId="0" fontId="7" fillId="3" borderId="0" xfId="0" applyFont="1" applyFill="1" applyAlignment="1" applyProtection="1">
      <alignment horizontal="center" vertical="center"/>
      <protection hidden="1"/>
    </xf>
    <xf numFmtId="0" fontId="7" fillId="2" borderId="0" xfId="0" applyFont="1" applyFill="1" applyAlignment="1" applyProtection="1">
      <alignment horizontal="left" indent="2"/>
      <protection hidden="1"/>
    </xf>
    <xf numFmtId="0" fontId="0" fillId="2" borderId="0" xfId="0" applyFill="1" applyAlignment="1" applyProtection="1">
      <alignment horizontal="left" vertical="center" indent="2"/>
      <protection hidden="1"/>
    </xf>
    <xf numFmtId="0" fontId="51" fillId="2" borderId="10" xfId="0" applyFont="1" applyFill="1" applyBorder="1" applyAlignment="1" applyProtection="1">
      <alignment horizontal="center"/>
      <protection hidden="1"/>
    </xf>
    <xf numFmtId="0" fontId="11" fillId="2" borderId="0" xfId="0" applyFont="1" applyFill="1" applyAlignment="1" applyProtection="1">
      <alignment horizontal="left"/>
      <protection hidden="1"/>
    </xf>
    <xf numFmtId="0" fontId="0" fillId="34" borderId="0" xfId="0" applyFill="1" applyProtection="1">
      <protection hidden="1"/>
    </xf>
    <xf numFmtId="0" fontId="11" fillId="23" borderId="0" xfId="0" applyFont="1" applyFill="1" applyProtection="1">
      <protection hidden="1"/>
    </xf>
    <xf numFmtId="0" fontId="61" fillId="21" borderId="0" xfId="0" applyFont="1" applyFill="1" applyAlignment="1" applyProtection="1">
      <alignment vertical="center" wrapText="1"/>
      <protection hidden="1"/>
    </xf>
    <xf numFmtId="0" fontId="52" fillId="21" borderId="0" xfId="0" applyFont="1" applyFill="1" applyAlignment="1" applyProtection="1">
      <alignment vertical="center"/>
      <protection hidden="1"/>
    </xf>
    <xf numFmtId="0" fontId="53" fillId="21" borderId="0" xfId="0" applyFont="1" applyFill="1" applyAlignment="1" applyProtection="1">
      <alignment horizontal="left" vertical="center" indent="1"/>
      <protection hidden="1"/>
    </xf>
    <xf numFmtId="0" fontId="1" fillId="33"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51" fillId="33" borderId="0" xfId="0" applyFont="1" applyFill="1" applyAlignment="1" applyProtection="1">
      <alignment horizontal="center"/>
      <protection hidden="1"/>
    </xf>
    <xf numFmtId="0" fontId="36" fillId="3" borderId="9" xfId="0" applyFont="1" applyFill="1" applyBorder="1" applyAlignment="1" applyProtection="1">
      <alignment horizontal="center" vertical="center"/>
      <protection hidden="1"/>
    </xf>
    <xf numFmtId="0" fontId="2" fillId="3" borderId="3" xfId="0" applyFont="1" applyFill="1" applyBorder="1" applyProtection="1">
      <protection locked="0" hidden="1"/>
    </xf>
    <xf numFmtId="0" fontId="55" fillId="39" borderId="0" xfId="0" applyFont="1" applyFill="1" applyProtection="1">
      <protection hidden="1"/>
    </xf>
    <xf numFmtId="0" fontId="55" fillId="39" borderId="0" xfId="0" applyFont="1" applyFill="1" applyAlignment="1" applyProtection="1">
      <alignment horizontal="left"/>
      <protection hidden="1"/>
    </xf>
    <xf numFmtId="0" fontId="0" fillId="6" borderId="0" xfId="0" applyFill="1" applyAlignment="1" applyProtection="1">
      <alignment horizontal="center" vertical="center"/>
      <protection hidden="1"/>
    </xf>
    <xf numFmtId="0" fontId="11" fillId="6" borderId="0" xfId="0" applyFont="1" applyFill="1" applyAlignment="1" applyProtection="1">
      <alignment horizontal="center" vertical="center"/>
      <protection hidden="1"/>
    </xf>
    <xf numFmtId="0" fontId="0" fillId="13" borderId="0" xfId="0" applyFill="1" applyAlignment="1" applyProtection="1">
      <alignment horizontal="center" vertical="center"/>
      <protection hidden="1"/>
    </xf>
    <xf numFmtId="0" fontId="0" fillId="4" borderId="0" xfId="0" applyFill="1" applyAlignment="1" applyProtection="1">
      <alignment horizontal="right" vertical="center"/>
      <protection hidden="1"/>
    </xf>
    <xf numFmtId="20" fontId="2" fillId="3" borderId="3" xfId="0" applyNumberFormat="1" applyFont="1" applyFill="1" applyBorder="1" applyProtection="1">
      <protection locked="0" hidden="1"/>
    </xf>
    <xf numFmtId="0" fontId="0" fillId="11" borderId="1" xfId="0" applyFill="1" applyBorder="1" applyAlignment="1" applyProtection="1">
      <alignment horizontal="center"/>
      <protection hidden="1"/>
    </xf>
    <xf numFmtId="0" fontId="33" fillId="13" borderId="0" xfId="0" applyFont="1" applyFill="1" applyAlignment="1" applyProtection="1">
      <alignment horizontal="center" vertical="center"/>
      <protection hidden="1"/>
    </xf>
    <xf numFmtId="0" fontId="0" fillId="13" borderId="6" xfId="0" applyFill="1" applyBorder="1" applyProtection="1">
      <protection hidden="1"/>
    </xf>
    <xf numFmtId="0" fontId="0" fillId="13" borderId="7" xfId="0" applyFill="1" applyBorder="1" applyProtection="1">
      <protection hidden="1"/>
    </xf>
    <xf numFmtId="0" fontId="103" fillId="13" borderId="0" xfId="0" applyFont="1" applyFill="1" applyAlignment="1" applyProtection="1">
      <alignment horizontal="center"/>
      <protection hidden="1"/>
    </xf>
    <xf numFmtId="0" fontId="65"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3" fillId="13" borderId="11" xfId="0" applyFont="1" applyFill="1" applyBorder="1" applyAlignment="1" applyProtection="1">
      <alignment horizontal="center"/>
      <protection hidden="1"/>
    </xf>
    <xf numFmtId="0" fontId="66" fillId="13" borderId="0" xfId="0" applyFont="1" applyFill="1" applyAlignment="1" applyProtection="1">
      <alignment horizontal="center"/>
      <protection hidden="1"/>
    </xf>
    <xf numFmtId="0" fontId="103" fillId="13" borderId="3" xfId="0" applyFont="1" applyFill="1" applyBorder="1" applyAlignment="1" applyProtection="1">
      <alignment horizontal="center"/>
      <protection hidden="1"/>
    </xf>
    <xf numFmtId="0" fontId="0" fillId="49" borderId="0" xfId="0" applyFill="1" applyAlignment="1" applyProtection="1">
      <alignment horizontal="center"/>
      <protection hidden="1"/>
    </xf>
    <xf numFmtId="0" fontId="65" fillId="13" borderId="14" xfId="0" applyFont="1" applyFill="1" applyBorder="1" applyAlignment="1" applyProtection="1">
      <alignment horizontal="center"/>
      <protection hidden="1"/>
    </xf>
    <xf numFmtId="0" fontId="66"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6" fillId="47" borderId="2" xfId="0" applyFont="1" applyFill="1" applyBorder="1" applyAlignment="1" applyProtection="1">
      <alignment horizontal="center"/>
      <protection hidden="1"/>
    </xf>
    <xf numFmtId="0" fontId="66" fillId="47" borderId="2" xfId="0" applyFont="1" applyFill="1" applyBorder="1" applyAlignment="1" applyProtection="1">
      <alignment horizontal="left"/>
      <protection hidden="1"/>
    </xf>
    <xf numFmtId="0" fontId="65" fillId="47" borderId="0" xfId="0" applyFont="1" applyFill="1" applyAlignment="1" applyProtection="1">
      <alignment horizontal="right"/>
      <protection hidden="1"/>
    </xf>
    <xf numFmtId="0" fontId="66" fillId="47" borderId="12" xfId="0" applyFont="1" applyFill="1" applyBorder="1" applyAlignment="1" applyProtection="1">
      <alignment horizontal="left"/>
      <protection hidden="1"/>
    </xf>
    <xf numFmtId="0" fontId="65" fillId="47" borderId="0" xfId="0" applyFont="1" applyFill="1" applyAlignment="1" applyProtection="1">
      <alignment horizontal="center"/>
      <protection hidden="1"/>
    </xf>
    <xf numFmtId="0" fontId="65" fillId="47" borderId="0" xfId="0" applyFont="1" applyFill="1" applyAlignment="1" applyProtection="1">
      <alignment horizontal="left"/>
      <protection hidden="1"/>
    </xf>
    <xf numFmtId="0" fontId="65" fillId="47" borderId="3" xfId="0" applyFont="1" applyFill="1" applyBorder="1" applyAlignment="1" applyProtection="1">
      <alignment horizontal="center"/>
      <protection hidden="1"/>
    </xf>
    <xf numFmtId="0" fontId="65" fillId="47" borderId="3" xfId="0" applyFont="1" applyFill="1" applyBorder="1" applyAlignment="1" applyProtection="1">
      <alignment horizontal="left"/>
      <protection hidden="1"/>
    </xf>
    <xf numFmtId="0" fontId="52" fillId="47" borderId="3" xfId="0" applyFont="1" applyFill="1" applyBorder="1" applyAlignment="1" applyProtection="1">
      <alignment horizontal="center" vertical="center"/>
      <protection hidden="1"/>
    </xf>
    <xf numFmtId="0" fontId="103" fillId="47" borderId="11" xfId="0" applyFont="1" applyFill="1" applyBorder="1" applyAlignment="1" applyProtection="1">
      <alignment horizontal="center"/>
      <protection hidden="1"/>
    </xf>
    <xf numFmtId="0" fontId="65" fillId="47" borderId="11" xfId="0" applyFont="1" applyFill="1" applyBorder="1" applyAlignment="1" applyProtection="1">
      <alignment horizontal="center"/>
      <protection hidden="1"/>
    </xf>
    <xf numFmtId="0" fontId="65" fillId="47" borderId="12" xfId="0" applyFont="1" applyFill="1" applyBorder="1" applyAlignment="1" applyProtection="1">
      <alignment horizontal="center"/>
      <protection hidden="1"/>
    </xf>
    <xf numFmtId="0" fontId="66" fillId="47" borderId="0" xfId="0" applyFont="1" applyFill="1" applyAlignment="1" applyProtection="1">
      <alignment horizontal="center"/>
      <protection hidden="1"/>
    </xf>
    <xf numFmtId="0" fontId="66" fillId="47" borderId="3" xfId="0" applyFont="1" applyFill="1" applyBorder="1" applyAlignment="1" applyProtection="1">
      <alignment horizontal="center"/>
      <protection hidden="1"/>
    </xf>
    <xf numFmtId="0" fontId="33" fillId="47" borderId="3" xfId="0" applyFont="1" applyFill="1" applyBorder="1" applyAlignment="1" applyProtection="1">
      <alignment horizontal="right"/>
      <protection hidden="1"/>
    </xf>
    <xf numFmtId="0" fontId="55" fillId="47" borderId="0" xfId="0" applyFont="1" applyFill="1" applyAlignment="1" applyProtection="1">
      <alignment horizontal="center" vertical="center"/>
      <protection hidden="1"/>
    </xf>
    <xf numFmtId="0" fontId="0" fillId="47" borderId="0" xfId="0" applyFill="1" applyProtection="1">
      <protection hidden="1"/>
    </xf>
    <xf numFmtId="0" fontId="20" fillId="49" borderId="0" xfId="0" applyFont="1" applyFill="1" applyAlignment="1" applyProtection="1">
      <alignment horizontal="left" indent="1"/>
      <protection hidden="1"/>
    </xf>
    <xf numFmtId="0" fontId="12" fillId="49" borderId="0" xfId="0" applyFont="1" applyFill="1" applyAlignment="1" applyProtection="1">
      <alignment horizontal="center"/>
      <protection hidden="1"/>
    </xf>
    <xf numFmtId="0" fontId="12" fillId="49" borderId="0" xfId="0" applyFont="1" applyFill="1" applyProtection="1">
      <protection hidden="1"/>
    </xf>
    <xf numFmtId="0" fontId="20" fillId="49" borderId="0" xfId="0" applyFont="1" applyFill="1" applyAlignment="1" applyProtection="1">
      <alignment horizontal="right"/>
      <protection hidden="1"/>
    </xf>
    <xf numFmtId="0" fontId="20" fillId="39" borderId="0" xfId="0" applyFont="1" applyFill="1" applyProtection="1">
      <protection hidden="1"/>
    </xf>
    <xf numFmtId="0" fontId="20" fillId="39" borderId="0" xfId="0" applyFont="1" applyFill="1" applyAlignment="1" applyProtection="1">
      <alignment horizontal="center"/>
      <protection hidden="1"/>
    </xf>
    <xf numFmtId="0" fontId="12" fillId="39" borderId="0" xfId="0" applyFont="1" applyFill="1" applyProtection="1">
      <protection hidden="1"/>
    </xf>
    <xf numFmtId="0" fontId="0" fillId="39" borderId="0" xfId="0" applyFill="1" applyAlignment="1" applyProtection="1">
      <alignment horizontal="right"/>
      <protection hidden="1"/>
    </xf>
    <xf numFmtId="0" fontId="1" fillId="48" borderId="0" xfId="0" applyFont="1" applyFill="1" applyAlignment="1" applyProtection="1">
      <alignment horizontal="left" indent="1"/>
      <protection hidden="1"/>
    </xf>
    <xf numFmtId="0" fontId="0" fillId="48" borderId="0" xfId="0" applyFill="1" applyProtection="1">
      <protection hidden="1"/>
    </xf>
    <xf numFmtId="0" fontId="7" fillId="48" borderId="0" xfId="0" applyFont="1" applyFill="1" applyAlignment="1" applyProtection="1">
      <alignment horizontal="center"/>
      <protection hidden="1"/>
    </xf>
    <xf numFmtId="0" fontId="7" fillId="48" borderId="0" xfId="0" applyFont="1" applyFill="1" applyAlignment="1" applyProtection="1">
      <alignment horizontal="left"/>
      <protection hidden="1"/>
    </xf>
    <xf numFmtId="0" fontId="7" fillId="48" borderId="1" xfId="0" applyFont="1" applyFill="1" applyBorder="1" applyAlignment="1" applyProtection="1">
      <alignment horizontal="center"/>
      <protection hidden="1"/>
    </xf>
    <xf numFmtId="0" fontId="1" fillId="48" borderId="0" xfId="0" applyFont="1" applyFill="1" applyAlignment="1" applyProtection="1">
      <alignment horizontal="left" vertical="center" indent="1"/>
      <protection hidden="1"/>
    </xf>
    <xf numFmtId="0" fontId="53" fillId="39" borderId="1" xfId="0" applyFont="1" applyFill="1" applyBorder="1" applyAlignment="1" applyProtection="1">
      <alignment horizontal="left" indent="1"/>
      <protection hidden="1"/>
    </xf>
    <xf numFmtId="0" fontId="53" fillId="39" borderId="10" xfId="0" applyFont="1" applyFill="1" applyBorder="1" applyAlignment="1" applyProtection="1">
      <alignment horizontal="left" indent="1"/>
      <protection hidden="1"/>
    </xf>
    <xf numFmtId="0" fontId="0" fillId="20" borderId="0" xfId="0" applyFill="1" applyAlignment="1" applyProtection="1">
      <alignment horizontal="lef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7" fillId="20" borderId="0" xfId="0" applyFont="1" applyFill="1" applyAlignment="1" applyProtection="1">
      <alignment horizontal="left" indent="1"/>
      <protection hidden="1"/>
    </xf>
    <xf numFmtId="0" fontId="0" fillId="20" borderId="0" xfId="0" applyFill="1" applyAlignment="1" applyProtection="1">
      <alignment horizontal="left" indent="1"/>
      <protection hidden="1"/>
    </xf>
    <xf numFmtId="0" fontId="104" fillId="13" borderId="0" xfId="0" applyFont="1" applyFill="1" applyProtection="1">
      <protection hidden="1"/>
    </xf>
    <xf numFmtId="0" fontId="7" fillId="2" borderId="10" xfId="0" applyFont="1" applyFill="1" applyBorder="1" applyAlignment="1" applyProtection="1">
      <alignment horizontal="center"/>
      <protection hidden="1"/>
    </xf>
    <xf numFmtId="0" fontId="16" fillId="41" borderId="11" xfId="0" applyFont="1" applyFill="1" applyBorder="1" applyAlignment="1">
      <alignment horizontal="left"/>
    </xf>
    <xf numFmtId="0" fontId="11" fillId="12" borderId="12" xfId="0" applyFont="1" applyFill="1" applyBorder="1"/>
    <xf numFmtId="0" fontId="11" fillId="42" borderId="12" xfId="0" applyFont="1" applyFill="1" applyBorder="1"/>
    <xf numFmtId="0" fontId="16" fillId="12" borderId="12" xfId="0" applyFont="1" applyFill="1" applyBorder="1" applyAlignment="1">
      <alignment horizontal="left"/>
    </xf>
    <xf numFmtId="0" fontId="16" fillId="42" borderId="12" xfId="0" applyFont="1" applyFill="1" applyBorder="1" applyAlignment="1">
      <alignment horizontal="left"/>
    </xf>
    <xf numFmtId="0" fontId="1" fillId="42" borderId="12" xfId="0" applyFont="1" applyFill="1" applyBorder="1" applyAlignment="1">
      <alignment horizontal="left"/>
    </xf>
    <xf numFmtId="0" fontId="11" fillId="12" borderId="12" xfId="0" applyFont="1" applyFill="1" applyBorder="1" applyAlignment="1">
      <alignment horizontal="left"/>
    </xf>
    <xf numFmtId="0" fontId="11" fillId="42"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2" borderId="12" xfId="0" applyFont="1" applyFill="1" applyBorder="1" applyAlignment="1">
      <alignment horizontal="left"/>
    </xf>
    <xf numFmtId="0" fontId="43" fillId="12" borderId="12" xfId="0" applyFont="1" applyFill="1" applyBorder="1" applyAlignment="1">
      <alignment horizontal="center"/>
    </xf>
    <xf numFmtId="0" fontId="43" fillId="42" borderId="12" xfId="0" applyFont="1" applyFill="1" applyBorder="1" applyAlignment="1">
      <alignment horizontal="center"/>
    </xf>
    <xf numFmtId="0" fontId="91" fillId="12" borderId="12" xfId="0" applyFont="1" applyFill="1" applyBorder="1" applyAlignment="1">
      <alignment horizontal="left"/>
    </xf>
    <xf numFmtId="0" fontId="91" fillId="42" borderId="12" xfId="0" applyFont="1" applyFill="1" applyBorder="1" applyAlignment="1">
      <alignment horizontal="left"/>
    </xf>
    <xf numFmtId="0" fontId="1" fillId="41" borderId="11" xfId="0" applyFont="1" applyFill="1" applyBorder="1" applyAlignment="1">
      <alignment horizontal="left"/>
    </xf>
    <xf numFmtId="0" fontId="0" fillId="12" borderId="12" xfId="0" applyFill="1" applyBorder="1"/>
    <xf numFmtId="0" fontId="0" fillId="42" borderId="12" xfId="0" applyFill="1" applyBorder="1"/>
    <xf numFmtId="0" fontId="1" fillId="12" borderId="12" xfId="0" applyFont="1" applyFill="1" applyBorder="1" applyAlignment="1">
      <alignment horizontal="left"/>
    </xf>
    <xf numFmtId="0" fontId="0" fillId="42" borderId="12" xfId="0" applyFill="1" applyBorder="1" applyAlignment="1">
      <alignment horizontal="left"/>
    </xf>
    <xf numFmtId="0" fontId="43" fillId="12" borderId="12" xfId="0" applyFont="1" applyFill="1" applyBorder="1"/>
    <xf numFmtId="0" fontId="8" fillId="42"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6"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 fillId="3" borderId="0" xfId="0" applyFont="1" applyFill="1" applyAlignment="1" applyProtection="1">
      <alignment horizontal="center" vertical="center"/>
      <protection locked="0" hidden="1"/>
    </xf>
    <xf numFmtId="0" fontId="21" fillId="41" borderId="0" xfId="0" applyFont="1" applyFill="1"/>
    <xf numFmtId="0" fontId="41" fillId="14" borderId="0" xfId="0" applyFont="1" applyFill="1" applyProtection="1">
      <protection hidden="1"/>
    </xf>
    <xf numFmtId="0" fontId="21" fillId="42" borderId="0" xfId="0" applyFont="1" applyFill="1"/>
    <xf numFmtId="0" fontId="21" fillId="12" borderId="0" xfId="0" applyFont="1" applyFill="1"/>
    <xf numFmtId="0" fontId="109" fillId="3"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2" borderId="0" xfId="0" applyFont="1" applyFill="1" applyAlignment="1" applyProtection="1">
      <alignment horizontal="right"/>
      <protection hidden="1"/>
    </xf>
    <xf numFmtId="0" fontId="112" fillId="22"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4" borderId="13" xfId="0" applyFont="1" applyFill="1" applyBorder="1" applyProtection="1">
      <protection hidden="1"/>
    </xf>
    <xf numFmtId="0" fontId="17" fillId="24" borderId="14" xfId="0" applyFont="1" applyFill="1" applyBorder="1" applyProtection="1">
      <protection hidden="1"/>
    </xf>
    <xf numFmtId="0" fontId="17" fillId="24" borderId="15" xfId="0" applyFont="1" applyFill="1" applyBorder="1" applyProtection="1">
      <protection hidden="1"/>
    </xf>
    <xf numFmtId="0" fontId="17" fillId="24" borderId="11" xfId="0" applyFont="1" applyFill="1" applyBorder="1" applyAlignment="1" applyProtection="1">
      <alignment horizontal="center"/>
      <protection hidden="1"/>
    </xf>
    <xf numFmtId="0" fontId="17" fillId="24" borderId="8" xfId="0" applyFont="1" applyFill="1" applyBorder="1" applyProtection="1">
      <protection hidden="1"/>
    </xf>
    <xf numFmtId="0" fontId="17" fillId="24"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66" fillId="13" borderId="13" xfId="0" applyFont="1" applyFill="1" applyBorder="1" applyAlignment="1" applyProtection="1">
      <alignment horizontal="center"/>
      <protection hidden="1"/>
    </xf>
    <xf numFmtId="0" fontId="65" fillId="13" borderId="8" xfId="0" applyFont="1" applyFill="1" applyBorder="1" applyAlignment="1" applyProtection="1">
      <alignment horizontal="center"/>
      <protection hidden="1"/>
    </xf>
    <xf numFmtId="0" fontId="65" fillId="13" borderId="15" xfId="0" applyFont="1" applyFill="1" applyBorder="1" applyAlignment="1" applyProtection="1">
      <alignment horizontal="center"/>
      <protection hidden="1"/>
    </xf>
    <xf numFmtId="0" fontId="7" fillId="21" borderId="0" xfId="0" applyFont="1" applyFill="1" applyProtection="1">
      <protection hidden="1"/>
    </xf>
    <xf numFmtId="0" fontId="51" fillId="21" borderId="0" xfId="0" applyFont="1" applyFill="1" applyProtection="1">
      <protection hidden="1"/>
    </xf>
    <xf numFmtId="0" fontId="102" fillId="39" borderId="0" xfId="0" applyFont="1" applyFill="1" applyAlignment="1" applyProtection="1">
      <alignment horizontal="left"/>
      <protection hidden="1"/>
    </xf>
    <xf numFmtId="0" fontId="21" fillId="39" borderId="0" xfId="0" applyFont="1" applyFill="1" applyProtection="1">
      <protection hidden="1"/>
    </xf>
    <xf numFmtId="0" fontId="11" fillId="39" borderId="0" xfId="0" applyFont="1" applyFill="1" applyProtection="1">
      <protection hidden="1"/>
    </xf>
    <xf numFmtId="0" fontId="11" fillId="39" borderId="0" xfId="0" applyFont="1" applyFill="1" applyAlignment="1" applyProtection="1">
      <alignment horizontal="right"/>
      <protection hidden="1"/>
    </xf>
    <xf numFmtId="0" fontId="11" fillId="39" borderId="0" xfId="0" applyFont="1" applyFill="1" applyAlignment="1" applyProtection="1">
      <alignment horizontal="center"/>
      <protection hidden="1"/>
    </xf>
    <xf numFmtId="0" fontId="0" fillId="39" borderId="0" xfId="0" applyFill="1" applyAlignment="1" applyProtection="1">
      <alignment horizontal="center"/>
      <protection hidden="1"/>
    </xf>
    <xf numFmtId="0" fontId="113" fillId="39" borderId="0" xfId="0" applyFont="1" applyFill="1" applyAlignment="1" applyProtection="1">
      <alignment horizontal="center" vertical="center"/>
      <protection hidden="1"/>
    </xf>
    <xf numFmtId="0" fontId="53" fillId="6" borderId="1" xfId="0" applyFont="1" applyFill="1" applyBorder="1" applyProtection="1">
      <protection hidden="1"/>
    </xf>
    <xf numFmtId="0" fontId="53" fillId="2" borderId="10" xfId="0" applyFont="1" applyFill="1" applyBorder="1" applyAlignment="1" applyProtection="1">
      <alignment horizontal="left" indent="1"/>
      <protection hidden="1"/>
    </xf>
    <xf numFmtId="0" fontId="53" fillId="39" borderId="1" xfId="0" applyFont="1" applyFill="1" applyBorder="1" applyAlignment="1" applyProtection="1">
      <alignment horizontal="center"/>
      <protection hidden="1"/>
    </xf>
    <xf numFmtId="0" fontId="53" fillId="6" borderId="1" xfId="0" applyFont="1" applyFill="1" applyBorder="1" applyAlignment="1" applyProtection="1">
      <alignment horizontal="left"/>
      <protection hidden="1"/>
    </xf>
    <xf numFmtId="0" fontId="114" fillId="39" borderId="0" xfId="0" applyFont="1" applyFill="1" applyAlignment="1" applyProtection="1">
      <alignment horizontal="left" indent="1"/>
      <protection hidden="1"/>
    </xf>
    <xf numFmtId="0" fontId="53" fillId="48" borderId="1" xfId="0" applyFont="1" applyFill="1" applyBorder="1" applyAlignment="1" applyProtection="1">
      <alignment horizontal="left"/>
      <protection hidden="1"/>
    </xf>
    <xf numFmtId="0" fontId="11" fillId="40" borderId="0" xfId="0" applyFont="1" applyFill="1" applyAlignment="1" applyProtection="1">
      <alignment horizontal="left"/>
      <protection hidden="1"/>
    </xf>
    <xf numFmtId="0" fontId="2" fillId="13" borderId="15" xfId="0" applyFont="1" applyFill="1" applyBorder="1" applyAlignment="1" applyProtection="1">
      <alignment horizontal="center"/>
      <protection hidden="1"/>
    </xf>
    <xf numFmtId="0" fontId="2" fillId="13" borderId="11" xfId="0" applyFont="1" applyFill="1" applyBorder="1" applyAlignment="1" applyProtection="1">
      <alignment horizontal="left"/>
      <protection hidden="1"/>
    </xf>
    <xf numFmtId="0" fontId="2" fillId="13" borderId="8" xfId="0" applyFont="1" applyFill="1" applyBorder="1" applyAlignment="1" applyProtection="1">
      <alignment horizontal="center"/>
      <protection hidden="1"/>
    </xf>
    <xf numFmtId="0" fontId="2" fillId="13" borderId="12" xfId="0" applyFont="1" applyFill="1" applyBorder="1" applyAlignment="1" applyProtection="1">
      <alignment horizontal="left"/>
      <protection hidden="1"/>
    </xf>
    <xf numFmtId="0" fontId="17" fillId="13" borderId="13" xfId="0" applyFont="1" applyFill="1" applyBorder="1" applyProtection="1">
      <protection hidden="1"/>
    </xf>
    <xf numFmtId="0" fontId="17" fillId="13" borderId="14" xfId="0" applyFont="1" applyFill="1" applyBorder="1" applyAlignment="1" applyProtection="1">
      <alignment horizontal="center"/>
      <protection hidden="1"/>
    </xf>
    <xf numFmtId="0" fontId="17" fillId="13" borderId="15" xfId="0" applyFont="1" applyFill="1" applyBorder="1" applyProtection="1">
      <protection hidden="1"/>
    </xf>
    <xf numFmtId="0" fontId="17" fillId="13" borderId="11" xfId="0" applyFont="1" applyFill="1" applyBorder="1" applyAlignment="1" applyProtection="1">
      <alignment horizontal="center"/>
      <protection hidden="1"/>
    </xf>
    <xf numFmtId="0" fontId="14" fillId="2" borderId="36" xfId="0" applyFont="1" applyFill="1" applyBorder="1" applyProtection="1">
      <protection hidden="1"/>
    </xf>
    <xf numFmtId="2" fontId="0" fillId="4" borderId="0" xfId="0" applyNumberFormat="1" applyFill="1" applyProtection="1">
      <protection hidden="1"/>
    </xf>
    <xf numFmtId="0" fontId="67" fillId="4" borderId="0" xfId="0" applyFont="1" applyFill="1" applyProtection="1">
      <protection hidden="1"/>
    </xf>
    <xf numFmtId="0" fontId="115" fillId="12" borderId="0" xfId="0" applyFont="1" applyFill="1"/>
    <xf numFmtId="0" fontId="115" fillId="42" borderId="0" xfId="0" applyFont="1" applyFill="1"/>
    <xf numFmtId="0" fontId="115"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6" fillId="4" borderId="0" xfId="0" applyFont="1" applyFill="1" applyProtection="1">
      <protection hidden="1"/>
    </xf>
    <xf numFmtId="0" fontId="116" fillId="2" borderId="0" xfId="0" applyFont="1" applyFill="1" applyProtection="1">
      <protection hidden="1"/>
    </xf>
    <xf numFmtId="0" fontId="117" fillId="4" borderId="0" xfId="0" applyFont="1" applyFill="1" applyProtection="1">
      <protection hidden="1"/>
    </xf>
    <xf numFmtId="0" fontId="9" fillId="2" borderId="0" xfId="0" applyFont="1" applyFill="1" applyAlignment="1" applyProtection="1">
      <alignment vertical="top"/>
      <protection hidden="1"/>
    </xf>
    <xf numFmtId="0" fontId="11" fillId="40" borderId="0" xfId="0" applyFont="1" applyFill="1" applyProtection="1">
      <protection hidden="1"/>
    </xf>
    <xf numFmtId="0" fontId="16" fillId="40" borderId="0" xfId="0" applyFont="1" applyFill="1" applyProtection="1">
      <protection hidden="1"/>
    </xf>
    <xf numFmtId="0" fontId="16" fillId="50" borderId="0" xfId="0" applyFont="1" applyFill="1" applyProtection="1">
      <protection hidden="1"/>
    </xf>
    <xf numFmtId="0" fontId="11" fillId="50" borderId="0" xfId="0" applyFont="1" applyFill="1" applyProtection="1">
      <protection hidden="1"/>
    </xf>
    <xf numFmtId="0" fontId="11" fillId="50" borderId="0" xfId="0" applyFont="1" applyFill="1" applyAlignment="1" applyProtection="1">
      <alignment horizontal="center"/>
      <protection hidden="1"/>
    </xf>
    <xf numFmtId="0" fontId="16" fillId="28" borderId="0" xfId="0" applyFont="1" applyFill="1" applyProtection="1">
      <protection hidden="1"/>
    </xf>
    <xf numFmtId="0" fontId="11" fillId="28" borderId="0" xfId="0" applyFont="1" applyFill="1" applyAlignment="1" applyProtection="1">
      <alignment horizontal="center"/>
      <protection hidden="1"/>
    </xf>
    <xf numFmtId="0" fontId="11" fillId="28"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26" borderId="0" xfId="0" applyFont="1" applyFill="1" applyProtection="1">
      <protection hidden="1"/>
    </xf>
    <xf numFmtId="0" fontId="11" fillId="26"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55" borderId="0" xfId="0" applyFont="1" applyFill="1" applyProtection="1">
      <protection hidden="1"/>
    </xf>
    <xf numFmtId="0" fontId="11" fillId="55" borderId="0" xfId="0" applyFont="1" applyFill="1" applyAlignment="1" applyProtection="1">
      <alignment horizontal="center"/>
      <protection hidden="1"/>
    </xf>
    <xf numFmtId="0" fontId="11" fillId="55" borderId="0" xfId="0" applyFont="1" applyFill="1" applyProtection="1">
      <protection hidden="1"/>
    </xf>
    <xf numFmtId="0" fontId="16" fillId="23" borderId="0" xfId="0" applyFont="1" applyFill="1" applyProtection="1">
      <protection hidden="1"/>
    </xf>
    <xf numFmtId="0" fontId="11" fillId="23" borderId="0" xfId="0" applyFont="1" applyFill="1" applyAlignment="1" applyProtection="1">
      <alignment horizontal="center"/>
      <protection hidden="1"/>
    </xf>
    <xf numFmtId="0" fontId="11" fillId="21" borderId="0" xfId="0" applyFont="1" applyFill="1" applyProtection="1">
      <protection hidden="1"/>
    </xf>
    <xf numFmtId="0" fontId="16" fillId="29" borderId="0" xfId="0" applyFont="1" applyFill="1" applyProtection="1">
      <protection hidden="1"/>
    </xf>
    <xf numFmtId="0" fontId="11" fillId="29"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3" borderId="0" xfId="0" applyFont="1" applyFill="1" applyProtection="1">
      <protection hidden="1"/>
    </xf>
    <xf numFmtId="0" fontId="11" fillId="43" borderId="0" xfId="0" applyFont="1" applyFill="1" applyAlignment="1" applyProtection="1">
      <alignment horizontal="center"/>
      <protection hidden="1"/>
    </xf>
    <xf numFmtId="0" fontId="11" fillId="43" borderId="0" xfId="0" applyFont="1" applyFill="1" applyProtection="1">
      <protection hidden="1"/>
    </xf>
    <xf numFmtId="0" fontId="16" fillId="19" borderId="0" xfId="0" applyFont="1" applyFill="1" applyProtection="1">
      <protection hidden="1"/>
    </xf>
    <xf numFmtId="0" fontId="11" fillId="19" borderId="0" xfId="0" applyFont="1" applyFill="1" applyProtection="1">
      <protection hidden="1"/>
    </xf>
    <xf numFmtId="0" fontId="17" fillId="29"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6" borderId="0" xfId="0" applyFont="1" applyFill="1" applyProtection="1">
      <protection hidden="1"/>
    </xf>
    <xf numFmtId="0" fontId="11" fillId="56" borderId="0" xfId="0" applyFont="1" applyFill="1" applyAlignment="1" applyProtection="1">
      <alignment horizontal="center"/>
      <protection hidden="1"/>
    </xf>
    <xf numFmtId="0" fontId="11" fillId="56"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2"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8" fillId="4" borderId="0" xfId="0" applyFont="1" applyFill="1" applyProtection="1">
      <protection hidden="1"/>
    </xf>
    <xf numFmtId="0" fontId="11" fillId="24"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1"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9"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0" fontId="11" fillId="2" borderId="0" xfId="0" applyFont="1" applyFill="1" applyAlignment="1" applyProtection="1">
      <alignment horizontal="left" vertical="top" wrapText="1"/>
      <protection hidden="1"/>
    </xf>
    <xf numFmtId="14" fontId="70"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29" fillId="2" borderId="0" xfId="0" applyFont="1" applyFill="1" applyAlignment="1" applyProtection="1">
      <alignment horizontal="right" vertical="top"/>
      <protection hidden="1"/>
    </xf>
    <xf numFmtId="0" fontId="0" fillId="2" borderId="0" xfId="0" applyFill="1" applyAlignment="1" applyProtection="1">
      <alignment horizontal="left"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9"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12" xfId="0" applyFill="1" applyBorder="1" applyAlignment="1" applyProtection="1">
      <alignment vertical="center"/>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2" borderId="15" xfId="0" applyFont="1" applyFill="1" applyBorder="1"/>
    <xf numFmtId="0" fontId="0" fillId="57" borderId="10" xfId="0" applyFill="1" applyBorder="1" applyProtection="1">
      <protection hidden="1"/>
    </xf>
    <xf numFmtId="0" fontId="2" fillId="57" borderId="4" xfId="0" applyFont="1" applyFill="1" applyBorder="1" applyAlignment="1" applyProtection="1">
      <alignment vertical="center"/>
      <protection hidden="1"/>
    </xf>
    <xf numFmtId="0" fontId="0" fillId="57" borderId="4" xfId="0" applyFill="1" applyBorder="1" applyProtection="1">
      <protection hidden="1"/>
    </xf>
    <xf numFmtId="0" fontId="2" fillId="57" borderId="4" xfId="0" applyFont="1" applyFill="1" applyBorder="1" applyAlignment="1" applyProtection="1">
      <alignment horizontal="right" vertical="center"/>
      <protection hidden="1"/>
    </xf>
    <xf numFmtId="0" fontId="0" fillId="57" borderId="9" xfId="0" applyFill="1" applyBorder="1" applyProtection="1">
      <protection hidden="1"/>
    </xf>
    <xf numFmtId="0" fontId="21" fillId="57" borderId="10" xfId="0" applyFont="1" applyFill="1" applyBorder="1" applyProtection="1">
      <protection hidden="1"/>
    </xf>
    <xf numFmtId="0" fontId="19" fillId="57" borderId="4" xfId="0" applyFont="1" applyFill="1" applyBorder="1" applyAlignment="1" applyProtection="1">
      <alignment vertical="center"/>
      <protection hidden="1"/>
    </xf>
    <xf numFmtId="0" fontId="21" fillId="57" borderId="4" xfId="0" applyFont="1" applyFill="1" applyBorder="1" applyProtection="1">
      <protection hidden="1"/>
    </xf>
    <xf numFmtId="0" fontId="74" fillId="57" borderId="4" xfId="0" applyFont="1" applyFill="1" applyBorder="1" applyAlignment="1" applyProtection="1">
      <alignment horizontal="right"/>
      <protection hidden="1"/>
    </xf>
    <xf numFmtId="0" fontId="21" fillId="57" borderId="9" xfId="0" applyFont="1" applyFill="1" applyBorder="1" applyProtection="1">
      <protection hidden="1"/>
    </xf>
    <xf numFmtId="0" fontId="1" fillId="57" borderId="4" xfId="0" applyFont="1" applyFill="1" applyBorder="1" applyAlignment="1" applyProtection="1">
      <alignment horizontal="right" vertical="center"/>
      <protection hidden="1"/>
    </xf>
    <xf numFmtId="0" fontId="0" fillId="57" borderId="10" xfId="0" applyFill="1" applyBorder="1" applyAlignment="1" applyProtection="1">
      <alignment vertical="center"/>
      <protection hidden="1"/>
    </xf>
    <xf numFmtId="0" fontId="0" fillId="57" borderId="4" xfId="0" applyFill="1" applyBorder="1" applyAlignment="1" applyProtection="1">
      <alignment vertical="center"/>
      <protection hidden="1"/>
    </xf>
    <xf numFmtId="0" fontId="0" fillId="57" borderId="9" xfId="0" applyFill="1" applyBorder="1" applyAlignment="1" applyProtection="1">
      <alignment vertical="center"/>
      <protection hidden="1"/>
    </xf>
    <xf numFmtId="0" fontId="1" fillId="57" borderId="4" xfId="0" applyFont="1" applyFill="1" applyBorder="1" applyAlignment="1" applyProtection="1">
      <alignment vertical="center"/>
      <protection hidden="1"/>
    </xf>
    <xf numFmtId="0" fontId="1" fillId="57" borderId="4" xfId="0" applyFont="1" applyFill="1" applyBorder="1" applyProtection="1">
      <protection hidden="1"/>
    </xf>
    <xf numFmtId="0" fontId="1" fillId="57" borderId="4" xfId="0" applyFont="1" applyFill="1" applyBorder="1" applyAlignment="1" applyProtection="1">
      <alignment horizontal="right"/>
      <protection hidden="1"/>
    </xf>
    <xf numFmtId="0" fontId="109" fillId="3" borderId="0" xfId="0" applyFont="1" applyFill="1" applyAlignment="1" applyProtection="1">
      <alignment horizontal="right"/>
      <protection hidden="1"/>
    </xf>
    <xf numFmtId="0" fontId="2" fillId="57" borderId="4" xfId="0" applyFont="1" applyFill="1" applyBorder="1" applyProtection="1">
      <protection hidden="1"/>
    </xf>
    <xf numFmtId="0" fontId="2" fillId="57"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1" borderId="0" xfId="0" applyFont="1" applyFill="1" applyAlignment="1" applyProtection="1">
      <alignment horizontal="left"/>
      <protection hidden="1"/>
    </xf>
    <xf numFmtId="0" fontId="53" fillId="39" borderId="0" xfId="0" applyFont="1" applyFill="1" applyAlignment="1" applyProtection="1">
      <alignment horizontal="left"/>
      <protection hidden="1"/>
    </xf>
    <xf numFmtId="0" fontId="102" fillId="39" borderId="0" xfId="0" applyFont="1" applyFill="1" applyAlignment="1" applyProtection="1">
      <alignment horizontal="center"/>
      <protection hidden="1"/>
    </xf>
    <xf numFmtId="0" fontId="102" fillId="39" borderId="9" xfId="0" applyFont="1" applyFill="1" applyBorder="1" applyProtection="1">
      <protection hidden="1"/>
    </xf>
    <xf numFmtId="0" fontId="102" fillId="6" borderId="1" xfId="0" applyFont="1" applyFill="1" applyBorder="1" applyProtection="1">
      <protection hidden="1"/>
    </xf>
    <xf numFmtId="0" fontId="53" fillId="6" borderId="1" xfId="0" applyFont="1" applyFill="1" applyBorder="1" applyAlignment="1" applyProtection="1">
      <alignment horizontal="center"/>
      <protection hidden="1"/>
    </xf>
    <xf numFmtId="0" fontId="51" fillId="33" borderId="0" xfId="0" applyFont="1" applyFill="1" applyAlignment="1" applyProtection="1">
      <alignment horizontal="center" vertical="center"/>
      <protection hidden="1"/>
    </xf>
    <xf numFmtId="0" fontId="51" fillId="39" borderId="0" xfId="0" applyFont="1" applyFill="1" applyAlignment="1" applyProtection="1">
      <alignment horizontal="center" vertical="center"/>
      <protection hidden="1"/>
    </xf>
    <xf numFmtId="0" fontId="50" fillId="4" borderId="0" xfId="0" quotePrefix="1" applyFont="1" applyFill="1" applyProtection="1">
      <protection hidden="1"/>
    </xf>
    <xf numFmtId="0" fontId="2" fillId="35" borderId="0" xfId="0" applyFont="1" applyFill="1" applyAlignment="1" applyProtection="1">
      <alignment horizontal="left" indent="1"/>
      <protection hidden="1"/>
    </xf>
    <xf numFmtId="0" fontId="41" fillId="35" borderId="0" xfId="0" applyFont="1" applyFill="1" applyProtection="1">
      <protection hidden="1"/>
    </xf>
    <xf numFmtId="0" fontId="2" fillId="36"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0" fillId="13" borderId="1" xfId="0" applyFill="1" applyBorder="1" applyAlignment="1" applyProtection="1">
      <alignment horizontal="center"/>
      <protection hidden="1"/>
    </xf>
    <xf numFmtId="0" fontId="0" fillId="13" borderId="6" xfId="0" applyFill="1" applyBorder="1" applyAlignment="1" applyProtection="1">
      <alignment horizontal="center"/>
      <protection hidden="1"/>
    </xf>
    <xf numFmtId="0" fontId="101" fillId="43" borderId="5" xfId="0" applyFont="1" applyFill="1" applyBorder="1" applyAlignment="1">
      <alignment horizontal="center" vertical="center" wrapText="1"/>
    </xf>
    <xf numFmtId="0" fontId="101" fillId="43" borderId="6" xfId="0" applyFont="1" applyFill="1" applyBorder="1" applyAlignment="1">
      <alignment horizontal="center" vertical="center" wrapText="1"/>
    </xf>
    <xf numFmtId="0" fontId="101" fillId="43" borderId="7" xfId="0" applyFont="1" applyFill="1" applyBorder="1" applyAlignment="1">
      <alignment horizontal="center" vertical="center" wrapText="1"/>
    </xf>
    <xf numFmtId="0" fontId="98" fillId="22" borderId="5" xfId="0" applyFont="1" applyFill="1" applyBorder="1" applyAlignment="1">
      <alignment horizontal="center" vertical="center"/>
    </xf>
    <xf numFmtId="0" fontId="98" fillId="22"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3" borderId="5" xfId="0" applyFont="1" applyFill="1" applyBorder="1" applyAlignment="1">
      <alignment horizontal="center" vertical="center"/>
    </xf>
    <xf numFmtId="0" fontId="101" fillId="43"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3" borderId="13" xfId="0" applyFont="1" applyFill="1" applyBorder="1" applyAlignment="1">
      <alignment horizontal="center" vertical="center" wrapText="1"/>
    </xf>
    <xf numFmtId="0" fontId="98" fillId="43" borderId="14" xfId="0" applyFont="1" applyFill="1" applyBorder="1" applyAlignment="1">
      <alignment horizontal="center" vertical="center" wrapText="1"/>
    </xf>
    <xf numFmtId="0" fontId="98" fillId="43" borderId="8" xfId="0" applyFont="1" applyFill="1" applyBorder="1" applyAlignment="1">
      <alignment horizontal="center" vertical="center" wrapText="1"/>
    </xf>
    <xf numFmtId="0" fontId="98" fillId="43" borderId="12" xfId="0" applyFont="1" applyFill="1" applyBorder="1" applyAlignment="1">
      <alignment horizontal="center" vertical="center" wrapText="1"/>
    </xf>
    <xf numFmtId="0" fontId="98" fillId="43" borderId="15" xfId="0" applyFont="1" applyFill="1" applyBorder="1" applyAlignment="1">
      <alignment horizontal="center" vertical="center" wrapText="1"/>
    </xf>
    <xf numFmtId="0" fontId="98" fillId="43"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7" borderId="8" xfId="0" applyFont="1" applyFill="1" applyBorder="1" applyAlignment="1" applyProtection="1">
      <alignment horizontal="center"/>
      <protection hidden="1"/>
    </xf>
    <xf numFmtId="0" fontId="20" fillId="17" borderId="0" xfId="0" applyFont="1" applyFill="1" applyAlignment="1" applyProtection="1">
      <alignment horizontal="center"/>
      <protection hidden="1"/>
    </xf>
    <xf numFmtId="14" fontId="70"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7"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6"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7" borderId="5" xfId="0" applyFont="1" applyFill="1" applyBorder="1" applyAlignment="1" applyProtection="1">
      <alignment horizontal="center" vertical="center" textRotation="90"/>
      <protection hidden="1"/>
    </xf>
    <xf numFmtId="0" fontId="26" fillId="27" borderId="6" xfId="0" applyFont="1" applyFill="1" applyBorder="1" applyAlignment="1" applyProtection="1">
      <alignment horizontal="center" vertical="center" textRotation="90"/>
      <protection hidden="1"/>
    </xf>
    <xf numFmtId="0" fontId="26" fillId="27"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2" fillId="2" borderId="5" xfId="0" applyFont="1" applyFill="1" applyBorder="1" applyAlignment="1" applyProtection="1">
      <alignment horizontal="center" vertical="center"/>
      <protection hidden="1"/>
    </xf>
    <xf numFmtId="0" fontId="72" fillId="2" borderId="6" xfId="0" applyFont="1" applyFill="1" applyBorder="1" applyAlignment="1" applyProtection="1">
      <alignment horizontal="center" vertical="center"/>
      <protection hidden="1"/>
    </xf>
    <xf numFmtId="0" fontId="72"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2"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2"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0" fillId="30" borderId="10" xfId="0" applyFill="1" applyBorder="1" applyAlignment="1" applyProtection="1">
      <alignment horizontal="left"/>
      <protection hidden="1"/>
    </xf>
    <xf numFmtId="0" fontId="0" fillId="30" borderId="4" xfId="0" applyFill="1" applyBorder="1" applyAlignment="1" applyProtection="1">
      <alignment horizontal="left"/>
      <protection hidden="1"/>
    </xf>
    <xf numFmtId="0" fontId="0" fillId="30" borderId="9" xfId="0" applyFill="1" applyBorder="1" applyAlignment="1" applyProtection="1">
      <alignment horizontal="left"/>
      <protection hidden="1"/>
    </xf>
    <xf numFmtId="0" fontId="7" fillId="20" borderId="0" xfId="0" applyFont="1" applyFill="1" applyAlignment="1" applyProtection="1">
      <alignment horizontal="center" textRotation="90"/>
      <protection hidden="1"/>
    </xf>
    <xf numFmtId="0" fontId="53" fillId="20" borderId="0" xfId="0" applyFont="1" applyFill="1" applyAlignment="1" applyProtection="1">
      <alignment horizontal="center" textRotation="90"/>
      <protection hidden="1"/>
    </xf>
    <xf numFmtId="0" fontId="16" fillId="21" borderId="0" xfId="0" applyFont="1" applyFill="1" applyAlignment="1" applyProtection="1">
      <alignment horizontal="center"/>
      <protection hidden="1"/>
    </xf>
    <xf numFmtId="0" fontId="4" fillId="7" borderId="0" xfId="0" applyFont="1" applyFill="1" applyAlignment="1" applyProtection="1">
      <alignment horizontal="center"/>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42" fillId="20" borderId="0" xfId="0" applyFont="1" applyFill="1" applyAlignment="1" applyProtection="1">
      <alignment horizontal="center" textRotation="90"/>
      <protection hidden="1"/>
    </xf>
    <xf numFmtId="0" fontId="0" fillId="3" borderId="0" xfId="0" applyFill="1" applyAlignment="1" applyProtection="1">
      <alignment horizontal="left"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4" fillId="6" borderId="0" xfId="0" applyFont="1" applyFill="1" applyAlignment="1" applyProtection="1">
      <alignment horizontal="center"/>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24" fillId="20"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2" fillId="3" borderId="4" xfId="0" applyFont="1" applyFill="1" applyBorder="1" applyAlignment="1" applyProtection="1">
      <alignment horizontal="center"/>
      <protection locked="0" hidden="1"/>
    </xf>
    <xf numFmtId="0" fontId="24" fillId="7" borderId="0" xfId="0" applyFont="1" applyFill="1" applyAlignment="1" applyProtection="1">
      <alignment horizontal="center"/>
      <protection hidden="1"/>
    </xf>
    <xf numFmtId="0" fontId="7" fillId="20" borderId="3" xfId="0" applyFont="1" applyFill="1" applyBorder="1" applyAlignment="1" applyProtection="1">
      <alignment horizontal="center" textRotation="90"/>
      <protection hidden="1"/>
    </xf>
    <xf numFmtId="0" fontId="24" fillId="33" borderId="0" xfId="0" applyFont="1" applyFill="1" applyAlignment="1" applyProtection="1">
      <alignment horizontal="center" vertical="center"/>
      <protection hidden="1"/>
    </xf>
    <xf numFmtId="0" fontId="4" fillId="10" borderId="0" xfId="0" applyFont="1" applyFill="1" applyAlignment="1" applyProtection="1">
      <alignment horizontal="center"/>
      <protection hidden="1"/>
    </xf>
    <xf numFmtId="0" fontId="66" fillId="2"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4" borderId="25" xfId="0" applyFont="1" applyFill="1" applyBorder="1" applyAlignment="1" applyProtection="1">
      <alignment horizontal="center" vertical="center" textRotation="90"/>
      <protection hidden="1"/>
    </xf>
    <xf numFmtId="0" fontId="20" fillId="34" borderId="24" xfId="0" applyFont="1" applyFill="1" applyBorder="1" applyAlignment="1" applyProtection="1">
      <alignment horizontal="center" vertical="center" textRotation="90"/>
      <protection hidden="1"/>
    </xf>
    <xf numFmtId="0" fontId="20" fillId="34" borderId="26" xfId="0" applyFont="1" applyFill="1" applyBorder="1" applyAlignment="1" applyProtection="1">
      <alignment horizontal="center" vertical="center" textRotation="90"/>
      <protection hidden="1"/>
    </xf>
    <xf numFmtId="0" fontId="109" fillId="2" borderId="0" xfId="0" applyFont="1" applyFill="1" applyAlignment="1" applyProtection="1">
      <alignment horizontal="left" indent="2"/>
      <protection hidden="1"/>
    </xf>
    <xf numFmtId="0" fontId="109" fillId="2" borderId="3" xfId="0" applyFont="1" applyFill="1" applyBorder="1" applyAlignment="1" applyProtection="1">
      <alignment horizontal="left" indent="2"/>
      <protection hidden="1"/>
    </xf>
    <xf numFmtId="0" fontId="97" fillId="34" borderId="27" xfId="0" applyFont="1" applyFill="1" applyBorder="1" applyAlignment="1" applyProtection="1">
      <alignment horizontal="left" vertical="center" textRotation="90"/>
      <protection hidden="1"/>
    </xf>
    <xf numFmtId="0" fontId="97" fillId="34" borderId="30" xfId="0" applyFont="1" applyFill="1" applyBorder="1" applyAlignment="1" applyProtection="1">
      <alignment horizontal="left" vertical="center" textRotation="90"/>
      <protection hidden="1"/>
    </xf>
    <xf numFmtId="0" fontId="97" fillId="34" borderId="33" xfId="0" applyFont="1" applyFill="1" applyBorder="1" applyAlignment="1" applyProtection="1">
      <alignment horizontal="left" vertical="center" textRotation="90"/>
      <protection hidden="1"/>
    </xf>
    <xf numFmtId="0" fontId="15" fillId="26" borderId="0" xfId="0" applyFont="1" applyFill="1" applyAlignment="1" applyProtection="1">
      <alignment horizontal="center" vertical="center" wrapText="1"/>
      <protection hidden="1"/>
    </xf>
    <xf numFmtId="0" fontId="15" fillId="40" borderId="0" xfId="0" applyFont="1" applyFill="1" applyAlignment="1" applyProtection="1">
      <alignment horizontal="center" vertical="center"/>
      <protection hidden="1"/>
    </xf>
    <xf numFmtId="0" fontId="15" fillId="29" borderId="0" xfId="0" applyFont="1" applyFill="1" applyAlignment="1" applyProtection="1">
      <alignment horizontal="center" vertical="center"/>
      <protection hidden="1"/>
    </xf>
    <xf numFmtId="0" fontId="1" fillId="26" borderId="0" xfId="0" applyFont="1" applyFill="1" applyAlignment="1" applyProtection="1">
      <alignment horizontal="center" textRotation="90" wrapText="1"/>
      <protection hidden="1"/>
    </xf>
    <xf numFmtId="0" fontId="1" fillId="29" borderId="0" xfId="0" applyFont="1" applyFill="1" applyAlignment="1" applyProtection="1">
      <alignment horizontal="center" textRotation="90"/>
      <protection hidden="1"/>
    </xf>
    <xf numFmtId="0" fontId="1" fillId="29" borderId="0" xfId="0" applyFont="1" applyFill="1" applyAlignment="1" applyProtection="1">
      <alignment horizontal="center"/>
      <protection hidden="1"/>
    </xf>
    <xf numFmtId="0" fontId="44" fillId="34" borderId="18" xfId="0" applyFont="1" applyFill="1" applyBorder="1" applyAlignment="1" applyProtection="1">
      <alignment horizontal="center" vertical="center" wrapText="1"/>
      <protection hidden="1"/>
    </xf>
    <xf numFmtId="0" fontId="44" fillId="34" borderId="16" xfId="0" applyFont="1" applyFill="1" applyBorder="1" applyAlignment="1" applyProtection="1">
      <alignment horizontal="center" vertical="center" wrapText="1"/>
      <protection hidden="1"/>
    </xf>
    <xf numFmtId="0" fontId="44" fillId="34" borderId="19" xfId="0" applyFont="1" applyFill="1" applyBorder="1" applyAlignment="1" applyProtection="1">
      <alignment horizontal="center" vertical="center" wrapText="1"/>
      <protection hidden="1"/>
    </xf>
    <xf numFmtId="0" fontId="44" fillId="34" borderId="20" xfId="0" applyFont="1" applyFill="1" applyBorder="1" applyAlignment="1" applyProtection="1">
      <alignment horizontal="center" vertical="center" wrapText="1"/>
      <protection hidden="1"/>
    </xf>
    <xf numFmtId="0" fontId="44" fillId="34" borderId="0" xfId="0" applyFont="1" applyFill="1" applyAlignment="1" applyProtection="1">
      <alignment horizontal="center" vertical="center" wrapText="1"/>
      <protection hidden="1"/>
    </xf>
    <xf numFmtId="0" fontId="44" fillId="34" borderId="21" xfId="0" applyFont="1" applyFill="1" applyBorder="1" applyAlignment="1" applyProtection="1">
      <alignment horizontal="center" vertical="center" wrapText="1"/>
      <protection hidden="1"/>
    </xf>
    <xf numFmtId="0" fontId="44" fillId="34" borderId="22" xfId="0" applyFont="1" applyFill="1" applyBorder="1" applyAlignment="1" applyProtection="1">
      <alignment horizontal="center" vertical="center" wrapText="1"/>
      <protection hidden="1"/>
    </xf>
    <xf numFmtId="0" fontId="44" fillId="34" borderId="17" xfId="0" applyFont="1" applyFill="1" applyBorder="1" applyAlignment="1" applyProtection="1">
      <alignment horizontal="center" vertical="center" wrapText="1"/>
      <protection hidden="1"/>
    </xf>
    <xf numFmtId="0" fontId="44" fillId="34"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8" borderId="8"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vertical="top" wrapText="1" indent="2"/>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109" fillId="2" borderId="0" xfId="0" applyFont="1" applyFill="1" applyAlignment="1" applyProtection="1">
      <alignment horizontal="left"/>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6" fillId="2" borderId="3" xfId="0" applyFont="1" applyFill="1" applyBorder="1" applyAlignment="1" applyProtection="1">
      <alignment horizontal="left" indent="26"/>
      <protection hidden="1"/>
    </xf>
    <xf numFmtId="0" fontId="2" fillId="3" borderId="4" xfId="0" applyFont="1" applyFill="1" applyBorder="1" applyAlignment="1" applyProtection="1">
      <alignment horizontal="center"/>
      <protection locked="0"/>
    </xf>
    <xf numFmtId="0" fontId="32" fillId="25" borderId="0" xfId="0" applyFont="1" applyFill="1" applyAlignment="1" applyProtection="1">
      <alignment horizontal="center" vertical="center"/>
      <protection hidden="1"/>
    </xf>
    <xf numFmtId="0" fontId="32" fillId="19"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1" fillId="19" borderId="0" xfId="0" applyFont="1" applyFill="1" applyAlignment="1" applyProtection="1">
      <alignment horizontal="center" vertical="center" wrapText="1"/>
      <protection hidden="1"/>
    </xf>
    <xf numFmtId="0" fontId="16" fillId="19" borderId="0" xfId="0" applyFont="1" applyFill="1" applyAlignment="1" applyProtection="1">
      <alignment horizontal="center" vertical="center" wrapText="1"/>
      <protection hidden="1"/>
    </xf>
    <xf numFmtId="0" fontId="35" fillId="2" borderId="4" xfId="0" applyFont="1" applyFill="1" applyBorder="1" applyAlignment="1" applyProtection="1">
      <alignment vertical="top"/>
      <protection hidden="1"/>
    </xf>
    <xf numFmtId="0" fontId="11" fillId="31" borderId="1" xfId="0" applyFont="1" applyFill="1" applyBorder="1" applyAlignment="1" applyProtection="1">
      <alignment horizontal="center" vertical="center"/>
      <protection hidden="1"/>
    </xf>
    <xf numFmtId="0" fontId="35" fillId="2" borderId="2" xfId="0" applyFont="1" applyFill="1" applyBorder="1" applyAlignment="1" applyProtection="1">
      <alignment vertical="top"/>
      <protection hidden="1"/>
    </xf>
    <xf numFmtId="0" fontId="2" fillId="2" borderId="0" xfId="0" applyFont="1" applyFill="1" applyAlignment="1" applyProtection="1">
      <alignment horizontal="left" wrapText="1"/>
      <protection hidden="1"/>
    </xf>
    <xf numFmtId="0" fontId="120" fillId="0" borderId="0" xfId="0" applyFont="1" applyAlignment="1" applyProtection="1">
      <alignment horizontal="right"/>
      <protection hidden="1"/>
    </xf>
    <xf numFmtId="0" fontId="29" fillId="2" borderId="0" xfId="0" applyFont="1" applyFill="1" applyAlignment="1" applyProtection="1">
      <alignment horizontal="right" vertical="top"/>
      <protection hidden="1"/>
    </xf>
    <xf numFmtId="20" fontId="5" fillId="3" borderId="4" xfId="0" applyNumberFormat="1" applyFont="1" applyFill="1" applyBorder="1" applyAlignment="1" applyProtection="1">
      <alignment horizontal="left"/>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109" fillId="3" borderId="0" xfId="0" applyFont="1" applyFill="1" applyAlignment="1" applyProtection="1">
      <alignment horizontal="left"/>
      <protection locked="0"/>
    </xf>
    <xf numFmtId="0" fontId="29" fillId="2" borderId="0" xfId="0" applyFont="1" applyFill="1" applyAlignment="1" applyProtection="1">
      <alignment horizontal="left" vertical="center" wrapText="1"/>
      <protection hidden="1"/>
    </xf>
    <xf numFmtId="0" fontId="0" fillId="31" borderId="1" xfId="0" applyFill="1" applyBorder="1" applyAlignment="1" applyProtection="1">
      <alignment horizontal="center" vertical="center"/>
      <protection hidden="1"/>
    </xf>
    <xf numFmtId="0" fontId="6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35" fillId="2" borderId="0" xfId="0" applyFont="1" applyFill="1" applyAlignment="1" applyProtection="1">
      <alignment vertical="top"/>
      <protection hidden="1"/>
    </xf>
    <xf numFmtId="0" fontId="15" fillId="40" borderId="0" xfId="0" applyFont="1" applyFill="1" applyAlignment="1" applyProtection="1">
      <alignment horizontal="center" vertical="center"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11" fillId="10"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1" fillId="21" borderId="0" xfId="0" applyFont="1" applyFill="1" applyAlignment="1" applyProtection="1">
      <alignment horizontal="left"/>
      <protection hidden="1"/>
    </xf>
    <xf numFmtId="0" fontId="64" fillId="21" borderId="0" xfId="0" applyFont="1" applyFill="1" applyAlignment="1" applyProtection="1">
      <alignment horizontal="center" vertical="center" textRotation="90"/>
      <protection hidden="1"/>
    </xf>
    <xf numFmtId="0" fontId="5" fillId="47" borderId="0" xfId="0" applyFont="1" applyFill="1" applyAlignment="1" applyProtection="1">
      <alignment horizontal="left"/>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61" fillId="21" borderId="2" xfId="0" applyFont="1" applyFill="1" applyBorder="1" applyAlignment="1" applyProtection="1">
      <alignment horizontal="left" vertical="center" wrapText="1"/>
      <protection hidden="1"/>
    </xf>
    <xf numFmtId="0" fontId="61" fillId="21" borderId="0" xfId="0" applyFont="1" applyFill="1" applyAlignment="1" applyProtection="1">
      <alignment horizontal="left" vertical="center" wrapText="1"/>
      <protection hidden="1"/>
    </xf>
    <xf numFmtId="0" fontId="1" fillId="2" borderId="10" xfId="0" applyFont="1" applyFill="1" applyBorder="1" applyAlignment="1" applyProtection="1">
      <alignment horizontal="left" indent="1"/>
      <protection hidden="1"/>
    </xf>
    <xf numFmtId="0" fontId="1" fillId="2" borderId="4" xfId="0" applyFont="1" applyFill="1" applyBorder="1" applyAlignment="1" applyProtection="1">
      <alignment horizontal="left" indent="1"/>
      <protection hidden="1"/>
    </xf>
    <xf numFmtId="0" fontId="1" fillId="2" borderId="9" xfId="0" applyFont="1" applyFill="1" applyBorder="1" applyAlignment="1" applyProtection="1">
      <alignment horizontal="left" indent="1"/>
      <protection hidden="1"/>
    </xf>
    <xf numFmtId="0" fontId="1" fillId="2" borderId="8" xfId="0" applyFont="1" applyFill="1" applyBorder="1" applyAlignment="1" applyProtection="1">
      <alignment horizontal="left" indent="1"/>
      <protection hidden="1"/>
    </xf>
    <xf numFmtId="0" fontId="1" fillId="2" borderId="0" xfId="0" applyFont="1" applyFill="1" applyAlignment="1" applyProtection="1">
      <alignment horizontal="left" indent="1"/>
      <protection hidden="1"/>
    </xf>
    <xf numFmtId="0" fontId="113" fillId="39"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20" fillId="39" borderId="0" xfId="0" applyFont="1" applyFill="1" applyAlignment="1" applyProtection="1">
      <alignment horizontal="center" vertical="center"/>
      <protection hidden="1"/>
    </xf>
    <xf numFmtId="0" fontId="2" fillId="2" borderId="2" xfId="0" applyFont="1" applyFill="1" applyBorder="1" applyAlignment="1" applyProtection="1">
      <alignment horizontal="left" vertical="center" wrapText="1" indent="2"/>
      <protection hidden="1"/>
    </xf>
    <xf numFmtId="0" fontId="2" fillId="2" borderId="14" xfId="0" applyFont="1" applyFill="1" applyBorder="1" applyAlignment="1" applyProtection="1">
      <alignment horizontal="left" vertical="center" wrapText="1" indent="2"/>
      <protection hidden="1"/>
    </xf>
    <xf numFmtId="0" fontId="2" fillId="2" borderId="0" xfId="0" applyFont="1" applyFill="1" applyAlignment="1" applyProtection="1">
      <alignment horizontal="left" vertical="center" wrapText="1" indent="2"/>
      <protection hidden="1"/>
    </xf>
    <xf numFmtId="0" fontId="2" fillId="2" borderId="12" xfId="0" applyFont="1" applyFill="1" applyBorder="1" applyAlignment="1" applyProtection="1">
      <alignment horizontal="left" vertical="center" wrapText="1" indent="2"/>
      <protection hidden="1"/>
    </xf>
    <xf numFmtId="0" fontId="2" fillId="2" borderId="3" xfId="0" applyFont="1" applyFill="1" applyBorder="1" applyAlignment="1" applyProtection="1">
      <alignment horizontal="left" vertical="center" wrapText="1" indent="2"/>
      <protection hidden="1"/>
    </xf>
    <xf numFmtId="0" fontId="2" fillId="2" borderId="11" xfId="0" applyFont="1" applyFill="1" applyBorder="1" applyAlignment="1" applyProtection="1">
      <alignment horizontal="left" vertical="center" wrapText="1" indent="2"/>
      <protection hidden="1"/>
    </xf>
    <xf numFmtId="0" fontId="0" fillId="2" borderId="0" xfId="0" applyFill="1" applyAlignment="1" applyProtection="1">
      <alignment horizontal="left" indent="2"/>
      <protection hidden="1"/>
    </xf>
    <xf numFmtId="0" fontId="11" fillId="2" borderId="0" xfId="0" applyFont="1" applyFill="1" applyAlignment="1" applyProtection="1">
      <alignment horizontal="left" indent="2"/>
      <protection hidden="1"/>
    </xf>
    <xf numFmtId="0" fontId="9" fillId="2" borderId="0" xfId="0" applyFont="1" applyFill="1" applyAlignment="1" applyProtection="1">
      <alignment horizontal="left" indent="2"/>
      <protection hidden="1"/>
    </xf>
    <xf numFmtId="0" fontId="9" fillId="2" borderId="12" xfId="0" applyFont="1" applyFill="1" applyBorder="1" applyAlignment="1" applyProtection="1">
      <alignment horizontal="left" indent="2"/>
      <protection hidden="1"/>
    </xf>
    <xf numFmtId="0" fontId="9" fillId="2" borderId="0" xfId="0" applyFont="1" applyFill="1" applyAlignment="1" applyProtection="1">
      <alignment horizontal="left" vertical="top" wrapText="1" indent="2"/>
      <protection hidden="1"/>
    </xf>
    <xf numFmtId="0" fontId="9" fillId="2" borderId="12" xfId="0" applyFont="1" applyFill="1" applyBorder="1" applyAlignment="1" applyProtection="1">
      <alignment horizontal="left" vertical="top" wrapText="1" indent="2"/>
      <protection hidden="1"/>
    </xf>
    <xf numFmtId="0" fontId="49" fillId="2" borderId="0" xfId="0" applyFont="1" applyFill="1" applyAlignment="1" applyProtection="1">
      <alignment horizontal="left" indent="2"/>
      <protection hidden="1"/>
    </xf>
    <xf numFmtId="0" fontId="9" fillId="2" borderId="0" xfId="0" applyFont="1" applyFill="1" applyAlignment="1" applyProtection="1">
      <alignment horizontal="left" vertical="top"/>
      <protection hidden="1"/>
    </xf>
    <xf numFmtId="0" fontId="7" fillId="2" borderId="10" xfId="0" applyFont="1" applyFill="1" applyBorder="1" applyAlignment="1" applyProtection="1">
      <alignment horizontal="center" vertical="center"/>
      <protection hidden="1"/>
    </xf>
    <xf numFmtId="0" fontId="7" fillId="2" borderId="9" xfId="0" applyFont="1" applyFill="1" applyBorder="1" applyAlignment="1" applyProtection="1">
      <alignment horizontal="center" vertical="center"/>
      <protection hidden="1"/>
    </xf>
    <xf numFmtId="0" fontId="11" fillId="2" borderId="0" xfId="0" applyFont="1" applyFill="1" applyAlignment="1" applyProtection="1">
      <alignment horizontal="left" vertical="top" wrapText="1"/>
      <protection hidden="1"/>
    </xf>
    <xf numFmtId="0" fontId="1" fillId="2" borderId="10" xfId="0"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0" fontId="7" fillId="2" borderId="10" xfId="0" applyFont="1" applyFill="1" applyBorder="1" applyAlignment="1" applyProtection="1">
      <alignment horizontal="center"/>
      <protection hidden="1"/>
    </xf>
    <xf numFmtId="0" fontId="7" fillId="2" borderId="9" xfId="0" applyFont="1" applyFill="1" applyBorder="1" applyAlignment="1" applyProtection="1">
      <alignment horizontal="center"/>
      <protection hidden="1"/>
    </xf>
    <xf numFmtId="0" fontId="0" fillId="2" borderId="10" xfId="0" applyFill="1" applyBorder="1" applyAlignment="1" applyProtection="1">
      <alignment horizontal="center" vertical="center"/>
      <protection hidden="1"/>
    </xf>
    <xf numFmtId="0" fontId="0" fillId="2" borderId="9" xfId="0" applyFill="1" applyBorder="1" applyAlignment="1" applyProtection="1">
      <alignment horizontal="center" vertical="center"/>
      <protection hidden="1"/>
    </xf>
    <xf numFmtId="0" fontId="7" fillId="2" borderId="1" xfId="0" applyFont="1" applyFill="1" applyBorder="1" applyAlignment="1" applyProtection="1">
      <alignment horizontal="center"/>
      <protection hidden="1"/>
    </xf>
    <xf numFmtId="0" fontId="7" fillId="23" borderId="0" xfId="0" applyFont="1" applyFill="1" applyAlignment="1" applyProtection="1">
      <alignment horizontal="left"/>
      <protection hidden="1"/>
    </xf>
    <xf numFmtId="0" fontId="15" fillId="23" borderId="0" xfId="0" applyFont="1" applyFill="1" applyAlignment="1" applyProtection="1">
      <alignment horizontal="center" vertical="center"/>
      <protection hidden="1"/>
    </xf>
    <xf numFmtId="0" fontId="0" fillId="2" borderId="13" xfId="0" applyFill="1" applyBorder="1" applyAlignment="1" applyProtection="1">
      <alignment horizontal="center" wrapText="1"/>
      <protection hidden="1"/>
    </xf>
    <xf numFmtId="0" fontId="0" fillId="2" borderId="2" xfId="0" applyFill="1" applyBorder="1" applyAlignment="1" applyProtection="1">
      <alignment horizontal="center" wrapText="1"/>
      <protection hidden="1"/>
    </xf>
    <xf numFmtId="0" fontId="0" fillId="2" borderId="14" xfId="0" applyFill="1" applyBorder="1" applyAlignment="1" applyProtection="1">
      <alignment horizontal="center" wrapText="1"/>
      <protection hidden="1"/>
    </xf>
    <xf numFmtId="0" fontId="0" fillId="2" borderId="15" xfId="0" applyFill="1" applyBorder="1" applyAlignment="1" applyProtection="1">
      <alignment horizontal="center" wrapText="1"/>
      <protection hidden="1"/>
    </xf>
    <xf numFmtId="0" fontId="0" fillId="2" borderId="3" xfId="0" applyFill="1" applyBorder="1" applyAlignment="1" applyProtection="1">
      <alignment horizontal="center" wrapText="1"/>
      <protection hidden="1"/>
    </xf>
    <xf numFmtId="0" fontId="0" fillId="2" borderId="11" xfId="0" applyFill="1" applyBorder="1" applyAlignment="1" applyProtection="1">
      <alignment horizontal="center" wrapText="1"/>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51" fillId="39" borderId="0" xfId="0" applyFont="1" applyFill="1" applyAlignment="1" applyProtection="1">
      <alignment horizont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33" borderId="0" xfId="0" applyFont="1" applyFill="1" applyAlignment="1" applyProtection="1">
      <alignment horizontal="center" vertical="center"/>
      <protection hidden="1"/>
    </xf>
    <xf numFmtId="0" fontId="50" fillId="39" borderId="0" xfId="0" applyFont="1" applyFill="1" applyAlignment="1" applyProtection="1">
      <alignment horizontal="center"/>
      <protection hidden="1"/>
    </xf>
    <xf numFmtId="0" fontId="16" fillId="2" borderId="10" xfId="0" applyFont="1" applyFill="1" applyBorder="1" applyAlignment="1" applyProtection="1">
      <alignment horizontal="left" indent="1"/>
      <protection hidden="1"/>
    </xf>
    <xf numFmtId="0" fontId="16" fillId="2" borderId="4" xfId="0" applyFont="1" applyFill="1" applyBorder="1" applyAlignment="1" applyProtection="1">
      <alignment horizontal="left" indent="1"/>
      <protection hidden="1"/>
    </xf>
    <xf numFmtId="0" fontId="16" fillId="2" borderId="9" xfId="0" applyFont="1" applyFill="1" applyBorder="1" applyAlignment="1" applyProtection="1">
      <alignment horizontal="left" indent="1"/>
      <protection hidden="1"/>
    </xf>
    <xf numFmtId="0" fontId="0" fillId="39"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9" borderId="0" xfId="0" applyFont="1" applyFill="1" applyAlignment="1" applyProtection="1">
      <alignment horizontal="center"/>
      <protection hidden="1"/>
    </xf>
    <xf numFmtId="0" fontId="55" fillId="39" borderId="8" xfId="0" applyFont="1" applyFill="1" applyBorder="1" applyAlignment="1" applyProtection="1">
      <alignment horizontal="center"/>
      <protection hidden="1"/>
    </xf>
    <xf numFmtId="0" fontId="55" fillId="39" borderId="0" xfId="0" applyFont="1" applyFill="1" applyAlignment="1" applyProtection="1">
      <alignment horizontal="center"/>
      <protection hidden="1"/>
    </xf>
    <xf numFmtId="0" fontId="55" fillId="39" borderId="0" xfId="0" applyFont="1" applyFill="1" applyAlignment="1" applyProtection="1">
      <alignment horizontal="left"/>
      <protection hidden="1"/>
    </xf>
    <xf numFmtId="0" fontId="49" fillId="2" borderId="3" xfId="0" applyFont="1" applyFill="1" applyBorder="1" applyAlignment="1" applyProtection="1">
      <alignment horizontal="left" vertical="top" indent="2"/>
      <protection hidden="1"/>
    </xf>
    <xf numFmtId="0" fontId="14" fillId="4" borderId="0" xfId="0" applyFont="1" applyFill="1" applyAlignment="1" applyProtection="1">
      <alignment horizontal="left" vertical="top"/>
      <protection hidden="1"/>
    </xf>
    <xf numFmtId="0" fontId="14" fillId="4" borderId="0" xfId="0" applyFont="1" applyFill="1" applyAlignment="1" applyProtection="1">
      <alignment horizontal="right" vertical="top" wrapText="1"/>
      <protection hidden="1"/>
    </xf>
    <xf numFmtId="0" fontId="14" fillId="4" borderId="0" xfId="0" applyFont="1" applyFill="1" applyAlignment="1" applyProtection="1">
      <alignment horizontal="left" vertical="top" wrapText="1"/>
      <protection hidden="1"/>
    </xf>
    <xf numFmtId="0" fontId="50" fillId="2" borderId="3" xfId="0" applyFont="1" applyFill="1" applyBorder="1" applyAlignment="1" applyProtection="1">
      <alignment horizontal="center"/>
      <protection hidden="1"/>
    </xf>
    <xf numFmtId="0" fontId="34" fillId="24" borderId="0" xfId="0" applyFont="1" applyFill="1" applyAlignment="1" applyProtection="1">
      <alignment horizontal="center"/>
      <protection hidden="1"/>
    </xf>
    <xf numFmtId="0" fontId="11" fillId="24"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7" borderId="0" xfId="0" applyFont="1" applyFill="1" applyAlignment="1" applyProtection="1">
      <alignment horizontal="left"/>
      <protection hidden="1"/>
    </xf>
    <xf numFmtId="0" fontId="1" fillId="57"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7" borderId="4" xfId="0" applyFont="1" applyFill="1" applyBorder="1" applyAlignment="1" applyProtection="1">
      <alignment horizontal="left"/>
      <protection hidden="1"/>
    </xf>
    <xf numFmtId="166" fontId="104" fillId="13" borderId="0" xfId="0" applyNumberFormat="1" applyFont="1" applyFill="1" applyAlignment="1" applyProtection="1">
      <alignment horizontal="center"/>
      <protection hidden="1"/>
    </xf>
    <xf numFmtId="0" fontId="4" fillId="19" borderId="0" xfId="0" applyFont="1" applyFill="1" applyAlignment="1" applyProtection="1">
      <alignment horizontal="center"/>
      <protection hidden="1"/>
    </xf>
    <xf numFmtId="0" fontId="5" fillId="17" borderId="10" xfId="0" applyFont="1" applyFill="1" applyBorder="1" applyAlignment="1" applyProtection="1">
      <alignment horizontal="left"/>
      <protection hidden="1"/>
    </xf>
    <xf numFmtId="0" fontId="5" fillId="17" borderId="4" xfId="0" applyFont="1" applyFill="1" applyBorder="1" applyAlignment="1" applyProtection="1">
      <alignment horizontal="left"/>
      <protection hidden="1"/>
    </xf>
    <xf numFmtId="0" fontId="5" fillId="17" borderId="9" xfId="0" applyFont="1" applyFill="1" applyBorder="1" applyAlignment="1" applyProtection="1">
      <alignment horizontal="left"/>
      <protection hidden="1"/>
    </xf>
    <xf numFmtId="0" fontId="0" fillId="26" borderId="0" xfId="0" applyFill="1" applyAlignment="1" applyProtection="1">
      <alignment horizontal="left" vertical="top" wrapText="1"/>
      <protection hidden="1"/>
    </xf>
    <xf numFmtId="0" fontId="67" fillId="21" borderId="0" xfId="0" applyFont="1" applyFill="1" applyAlignment="1" applyProtection="1">
      <alignment horizontal="center" vertical="center" textRotation="90"/>
      <protection hidden="1"/>
    </xf>
    <xf numFmtId="0" fontId="13" fillId="19" borderId="0" xfId="0" applyFont="1" applyFill="1" applyAlignment="1" applyProtection="1">
      <alignment horizontal="center" vertical="center" wrapText="1"/>
      <protection hidden="1"/>
    </xf>
    <xf numFmtId="0" fontId="105"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7" borderId="1"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1" fillId="19" borderId="0" xfId="0" applyFont="1" applyFill="1" applyAlignment="1" applyProtection="1">
      <alignment horizontal="center"/>
      <protection hidden="1"/>
    </xf>
    <xf numFmtId="0" fontId="1" fillId="19"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Gekoppelde cel" xfId="2" builtinId="24" customBuiltin="1"/>
    <cellStyle name="Gevolgde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Standaard" xfId="0" builtinId="0"/>
  </cellStyles>
  <dxfs count="86">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9"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color theme="0" tint="-0.34998626667073579"/>
      </font>
      <fill>
        <patternFill patternType="none">
          <bgColor auto="1"/>
        </patternFill>
      </fill>
    </dxf>
    <dxf>
      <font>
        <b/>
        <i/>
        <color rgb="FFFF0000"/>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 Id="rId8" Type="http://schemas.openxmlformats.org/officeDocument/2006/relationships/image" Target="../media/image7.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20 DAGEN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66" customWidth="1"/>
    <col min="2" max="2" width="10.7109375" style="566" customWidth="1"/>
    <col min="3" max="27" width="50.7109375" customWidth="1"/>
  </cols>
  <sheetData>
    <row r="1" spans="1:6" s="593" customFormat="1" x14ac:dyDescent="0.25">
      <c r="A1" s="594" t="s">
        <v>643</v>
      </c>
      <c r="C1" s="595">
        <f>Voorblad!W66</f>
        <v>1</v>
      </c>
    </row>
    <row r="2" spans="1:6" s="593" customFormat="1" x14ac:dyDescent="0.25">
      <c r="A2" s="594" t="s">
        <v>644</v>
      </c>
      <c r="C2" s="595">
        <f>$C$1+2</f>
        <v>3</v>
      </c>
    </row>
    <row r="3" spans="1:6" s="568" customFormat="1" x14ac:dyDescent="0.25">
      <c r="A3" s="567" t="s">
        <v>590</v>
      </c>
      <c r="B3" s="876" t="s">
        <v>637</v>
      </c>
      <c r="C3" s="568" t="s">
        <v>591</v>
      </c>
      <c r="D3" s="568" t="s">
        <v>448</v>
      </c>
      <c r="E3" s="568" t="s">
        <v>447</v>
      </c>
      <c r="F3" s="568" t="s">
        <v>449</v>
      </c>
    </row>
    <row r="4" spans="1:6" s="570" customFormat="1" x14ac:dyDescent="0.25">
      <c r="A4" s="569"/>
      <c r="B4" s="877"/>
    </row>
    <row r="5" spans="1:6" s="571" customFormat="1" x14ac:dyDescent="0.25">
      <c r="A5" s="574" t="s">
        <v>645</v>
      </c>
      <c r="B5" s="878"/>
    </row>
    <row r="6" spans="1:6" s="570" customFormat="1" x14ac:dyDescent="0.25">
      <c r="A6" s="573" t="str">
        <f>"01-A-001"</f>
        <v>01-A-001</v>
      </c>
      <c r="B6" s="869" t="str">
        <f ca="1">INDIRECT(CHAR(64+$C$2)&amp;ROW())</f>
        <v>EURO 2024</v>
      </c>
      <c r="C6" s="570" t="s">
        <v>2266</v>
      </c>
      <c r="D6" s="575" t="s">
        <v>2266</v>
      </c>
      <c r="E6" s="575" t="s">
        <v>2266</v>
      </c>
      <c r="F6" s="575" t="s">
        <v>2266</v>
      </c>
    </row>
    <row r="7" spans="1:6" s="571" customFormat="1" x14ac:dyDescent="0.25">
      <c r="A7" s="572" t="str">
        <f t="shared" ref="A7:A70" si="0">LEFT(A6,5)&amp;RIGHT("000"&amp;RIGHT(A6,3)*1+1,3)</f>
        <v>01-A-002</v>
      </c>
      <c r="B7" s="880" t="str">
        <f ca="1">INDIRECT(CHAR(64+$C$2)&amp;ROW())</f>
        <v>Duitsland</v>
      </c>
      <c r="C7" s="571" t="s">
        <v>1</v>
      </c>
      <c r="D7" s="576" t="s">
        <v>632</v>
      </c>
      <c r="E7" s="576" t="s">
        <v>1343</v>
      </c>
      <c r="F7" s="576" t="s">
        <v>1672</v>
      </c>
    </row>
    <row r="8" spans="1:6" s="570" customFormat="1" x14ac:dyDescent="0.25">
      <c r="A8" s="573" t="str">
        <f t="shared" si="0"/>
        <v>01-A-003</v>
      </c>
      <c r="B8" s="869" t="str">
        <f ca="1">INDIRECT(CHAR(64+$C$2)&amp;ROW())</f>
        <v>UEFA Europees kampioenschap: Duitsland</v>
      </c>
      <c r="C8" s="575" t="s">
        <v>2265</v>
      </c>
      <c r="D8" s="575" t="s">
        <v>2277</v>
      </c>
      <c r="E8" s="575" t="s">
        <v>2271</v>
      </c>
      <c r="F8" s="575" t="s">
        <v>2276</v>
      </c>
    </row>
    <row r="9" spans="1:6" s="571" customFormat="1" x14ac:dyDescent="0.25">
      <c r="A9" s="572" t="str">
        <f t="shared" si="0"/>
        <v>01-A-004</v>
      </c>
      <c r="B9" s="880" t="str">
        <f ca="1">INDIRECT(CHAR(64+$C$2)&amp;ROW())</f>
        <v>Nog één dag tot de start van EURO 2024</v>
      </c>
      <c r="C9" s="576" t="s">
        <v>2267</v>
      </c>
      <c r="D9" s="576" t="s">
        <v>2269</v>
      </c>
      <c r="E9" s="576" t="s">
        <v>2272</v>
      </c>
      <c r="F9" s="576" t="s">
        <v>2274</v>
      </c>
    </row>
    <row r="10" spans="1:6" s="570" customFormat="1" x14ac:dyDescent="0.25">
      <c r="A10" s="573" t="str">
        <f t="shared" si="0"/>
        <v>01-A-005</v>
      </c>
      <c r="B10" s="869" t="str">
        <f ca="1">INDIRECT(CHAR(64+$C$2)&amp;ROW())</f>
        <v>Nog ### dagen tot de start van EURO 2024</v>
      </c>
      <c r="C10" s="575" t="s">
        <v>2268</v>
      </c>
      <c r="D10" s="575" t="s">
        <v>2270</v>
      </c>
      <c r="E10" s="575" t="s">
        <v>2273</v>
      </c>
      <c r="F10" s="575" t="s">
        <v>2275</v>
      </c>
    </row>
    <row r="11" spans="1:6" s="591" customFormat="1" x14ac:dyDescent="0.25">
      <c r="A11" s="589" t="str">
        <f t="shared" si="0"/>
        <v>01-A-006</v>
      </c>
      <c r="B11" s="882"/>
    </row>
    <row r="12" spans="1:6" s="592" customFormat="1" x14ac:dyDescent="0.25">
      <c r="A12" s="590" t="str">
        <f t="shared" si="0"/>
        <v>01-A-007</v>
      </c>
      <c r="B12" s="883"/>
    </row>
    <row r="13" spans="1:6" s="591" customFormat="1" x14ac:dyDescent="0.25">
      <c r="A13" s="589" t="str">
        <f t="shared" si="0"/>
        <v>01-A-008</v>
      </c>
      <c r="B13" s="882"/>
    </row>
    <row r="14" spans="1:6" s="592" customFormat="1" x14ac:dyDescent="0.25">
      <c r="A14" s="590" t="str">
        <f t="shared" si="0"/>
        <v>01-A-009</v>
      </c>
      <c r="B14" s="883"/>
    </row>
    <row r="15" spans="1:6" s="571" customFormat="1" x14ac:dyDescent="0.25">
      <c r="A15" s="572" t="str">
        <f t="shared" si="0"/>
        <v>01-A-010</v>
      </c>
      <c r="B15" s="880" t="str">
        <f ca="1">INDIRECT(CHAR(64+$C$2)&amp;ROW())</f>
        <v>Het Beheerders Bestand</v>
      </c>
      <c r="C15" s="571" t="s">
        <v>592</v>
      </c>
      <c r="D15" s="571" t="s">
        <v>593</v>
      </c>
      <c r="E15" s="571" t="s">
        <v>1289</v>
      </c>
      <c r="F15" s="571" t="s">
        <v>1627</v>
      </c>
    </row>
    <row r="16" spans="1:6" s="570" customFormat="1" x14ac:dyDescent="0.25">
      <c r="A16" s="573" t="str">
        <f t="shared" si="0"/>
        <v>01-A-011</v>
      </c>
      <c r="B16" s="869" t="str">
        <f ca="1">INDIRECT(CHAR(64+$C$2)&amp;ROW())</f>
        <v>Demo</v>
      </c>
      <c r="C16" s="570" t="s">
        <v>638</v>
      </c>
      <c r="D16" s="570" t="s">
        <v>638</v>
      </c>
      <c r="E16" s="570" t="s">
        <v>638</v>
      </c>
      <c r="F16" s="570" t="s">
        <v>638</v>
      </c>
    </row>
    <row r="17" spans="1:6" s="571" customFormat="1" x14ac:dyDescent="0.25">
      <c r="A17" s="572" t="str">
        <f t="shared" si="0"/>
        <v>01-A-012</v>
      </c>
      <c r="B17" s="880" t="str">
        <f ca="1">UPPER(INDIRECT(CHAR(64+$C$2)&amp;ROW()))</f>
        <v>BETA VERSIE</v>
      </c>
      <c r="C17" s="571" t="s">
        <v>929</v>
      </c>
      <c r="D17" s="571" t="s">
        <v>930</v>
      </c>
      <c r="E17" s="571" t="s">
        <v>1290</v>
      </c>
      <c r="F17" s="571" t="s">
        <v>1628</v>
      </c>
    </row>
    <row r="18" spans="1:6" s="570" customFormat="1" x14ac:dyDescent="0.25">
      <c r="A18" s="573" t="str">
        <f t="shared" si="0"/>
        <v>01-A-013</v>
      </c>
      <c r="B18" s="869" t="str">
        <f ca="1">UPPER(INDIRECT(CHAR(64+$C$2)&amp;ROW()))</f>
        <v>DEMO VERSIE</v>
      </c>
      <c r="C18" s="570" t="s">
        <v>639</v>
      </c>
      <c r="D18" s="570" t="s">
        <v>640</v>
      </c>
      <c r="E18" s="570" t="s">
        <v>1291</v>
      </c>
      <c r="F18" s="570" t="s">
        <v>1629</v>
      </c>
    </row>
    <row r="19" spans="1:6" s="571" customFormat="1" x14ac:dyDescent="0.25">
      <c r="A19" s="572" t="str">
        <f t="shared" si="0"/>
        <v>01-A-014</v>
      </c>
      <c r="B19" s="880" t="str">
        <f ca="1">UPPER(INDIRECT(CHAR(64+$C$2)&amp;ROW()))</f>
        <v>PREVIEW VERSIE</v>
      </c>
      <c r="C19" s="571" t="s">
        <v>927</v>
      </c>
      <c r="D19" s="571" t="s">
        <v>928</v>
      </c>
      <c r="E19" s="571" t="s">
        <v>1292</v>
      </c>
      <c r="F19" s="571" t="s">
        <v>1630</v>
      </c>
    </row>
    <row r="20" spans="1:6" s="570" customFormat="1" x14ac:dyDescent="0.25">
      <c r="A20" s="573" t="str">
        <f t="shared" si="0"/>
        <v>01-A-015</v>
      </c>
      <c r="B20" s="869" t="str">
        <f t="shared" ref="B20:B33" ca="1" si="1">INDIRECT(CHAR(64+$C$2)&amp;ROW())</f>
        <v>Extra Beheerdersmodule voor de Organisatoren</v>
      </c>
      <c r="C20" s="570" t="s">
        <v>598</v>
      </c>
      <c r="D20" s="570" t="s">
        <v>601</v>
      </c>
      <c r="E20" s="570" t="s">
        <v>1293</v>
      </c>
      <c r="F20" s="570" t="s">
        <v>1631</v>
      </c>
    </row>
    <row r="21" spans="1:6" s="571" customFormat="1" x14ac:dyDescent="0.25">
      <c r="A21" s="572" t="str">
        <f t="shared" si="0"/>
        <v>01-A-016</v>
      </c>
      <c r="B21" s="880" t="str">
        <f t="shared" ca="1" si="1"/>
        <v>Het Deelname Formulier</v>
      </c>
      <c r="C21" s="571" t="s">
        <v>2257</v>
      </c>
      <c r="D21" s="571" t="s">
        <v>602</v>
      </c>
      <c r="E21" s="571" t="s">
        <v>1294</v>
      </c>
      <c r="F21" s="571" t="s">
        <v>1632</v>
      </c>
    </row>
    <row r="22" spans="1:6" s="570" customFormat="1" x14ac:dyDescent="0.25">
      <c r="A22" s="573" t="str">
        <f t="shared" si="0"/>
        <v>01-A-017</v>
      </c>
      <c r="B22" s="869" t="str">
        <f t="shared" ca="1" si="1"/>
        <v>Het Excel Deelname Formulier</v>
      </c>
      <c r="C22" s="570" t="s">
        <v>594</v>
      </c>
      <c r="D22" s="570" t="s">
        <v>595</v>
      </c>
      <c r="E22" s="570" t="s">
        <v>1295</v>
      </c>
      <c r="F22" s="570" t="s">
        <v>1633</v>
      </c>
    </row>
    <row r="23" spans="1:6" s="591" customFormat="1" x14ac:dyDescent="0.25">
      <c r="A23" s="589" t="str">
        <f t="shared" si="0"/>
        <v>01-A-018</v>
      </c>
      <c r="B23" s="882" t="str">
        <f t="shared" ca="1" si="1"/>
        <v>Externe Ranglijst</v>
      </c>
      <c r="C23" s="591" t="s">
        <v>596</v>
      </c>
      <c r="D23" s="591" t="s">
        <v>597</v>
      </c>
      <c r="E23" s="591" t="s">
        <v>1296</v>
      </c>
      <c r="F23" s="591" t="s">
        <v>1634</v>
      </c>
    </row>
    <row r="24" spans="1:6" s="592" customFormat="1" x14ac:dyDescent="0.25">
      <c r="A24" s="590" t="str">
        <f t="shared" si="0"/>
        <v>01-A-019</v>
      </c>
      <c r="B24" s="883" t="str">
        <f t="shared" ca="1" si="1"/>
        <v>Uitbreidingsmodule voor het Beheerders Bestand</v>
      </c>
      <c r="C24" s="592" t="s">
        <v>599</v>
      </c>
      <c r="D24" s="592" t="s">
        <v>603</v>
      </c>
      <c r="E24" s="592" t="s">
        <v>1297</v>
      </c>
      <c r="F24" s="592" t="s">
        <v>1635</v>
      </c>
    </row>
    <row r="25" spans="1:6" s="591" customFormat="1" x14ac:dyDescent="0.25">
      <c r="A25" s="589" t="str">
        <f t="shared" si="0"/>
        <v>01-A-020</v>
      </c>
      <c r="B25" s="882" t="str">
        <f t="shared" ca="1" si="1"/>
        <v>Update voor de Excel EK-Pool naar versie</v>
      </c>
      <c r="C25" s="591" t="s">
        <v>600</v>
      </c>
      <c r="D25" s="591" t="s">
        <v>604</v>
      </c>
      <c r="E25" s="591" t="s">
        <v>1298</v>
      </c>
      <c r="F25" s="591" t="s">
        <v>1636</v>
      </c>
    </row>
    <row r="26" spans="1:6" s="592" customFormat="1" x14ac:dyDescent="0.25">
      <c r="A26" s="590" t="str">
        <f t="shared" si="0"/>
        <v>01-A-021</v>
      </c>
      <c r="B26" s="883" t="str">
        <f t="shared" ca="1" si="1"/>
        <v>Helpbestand voor Excel-pool.nl</v>
      </c>
      <c r="C26" s="592" t="s">
        <v>615</v>
      </c>
      <c r="D26" s="592" t="s">
        <v>616</v>
      </c>
      <c r="E26" s="592" t="s">
        <v>1299</v>
      </c>
      <c r="F26" s="592" t="s">
        <v>1637</v>
      </c>
    </row>
    <row r="27" spans="1:6" s="576" customFormat="1" x14ac:dyDescent="0.25">
      <c r="A27" s="572" t="str">
        <f t="shared" si="0"/>
        <v>01-A-022</v>
      </c>
      <c r="B27" s="868" t="str">
        <f t="shared" ca="1" si="1"/>
        <v>LET OP: Voor een optimaal gebruik van dit bestand wordt geadviseerd om de macro's in te schakelen.</v>
      </c>
      <c r="C27" s="576" t="s">
        <v>1251</v>
      </c>
      <c r="D27" s="576" t="s">
        <v>612</v>
      </c>
      <c r="E27" s="576" t="s">
        <v>1300</v>
      </c>
      <c r="F27" s="576" t="s">
        <v>1638</v>
      </c>
    </row>
    <row r="28" spans="1:6" s="592" customFormat="1" x14ac:dyDescent="0.25">
      <c r="A28" s="590" t="str">
        <f t="shared" si="0"/>
        <v>01-A-023</v>
      </c>
      <c r="B28" s="883" t="str">
        <f t="shared" ca="1" si="1"/>
        <v>LET OP: Deze module maakt gebruik van macro's. Het word geadviseerd om deze in te schakelen.</v>
      </c>
      <c r="C28" s="592" t="s">
        <v>605</v>
      </c>
      <c r="D28" s="592" t="s">
        <v>613</v>
      </c>
      <c r="E28" s="592" t="s">
        <v>1301</v>
      </c>
      <c r="F28" s="592" t="s">
        <v>1639</v>
      </c>
    </row>
    <row r="29" spans="1:6" s="576" customFormat="1" x14ac:dyDescent="0.25">
      <c r="A29" s="572" t="str">
        <f t="shared" si="0"/>
        <v>01-A-024</v>
      </c>
      <c r="B29" s="868" t="str">
        <f t="shared" ca="1" si="1"/>
        <v>LET OP: Dit formulier bevat geen reglement. Vraag uw organisator om het reglement toe te voegen.</v>
      </c>
      <c r="C29" s="576" t="s">
        <v>606</v>
      </c>
      <c r="D29" s="576" t="s">
        <v>664</v>
      </c>
      <c r="E29" s="576" t="s">
        <v>1302</v>
      </c>
      <c r="F29" s="576" t="s">
        <v>1640</v>
      </c>
    </row>
    <row r="30" spans="1:6" s="592" customFormat="1" x14ac:dyDescent="0.25">
      <c r="A30" s="590" t="str">
        <f t="shared" si="0"/>
        <v>01-A-025</v>
      </c>
      <c r="B30" s="883" t="str">
        <f t="shared" ca="1" si="1"/>
        <v>LET OP: Deze module maakt gebruikt van macro's en is geschikt voor maximaal ### deelnemers.</v>
      </c>
      <c r="C30" s="592" t="s">
        <v>607</v>
      </c>
      <c r="D30" s="592" t="s">
        <v>610</v>
      </c>
      <c r="E30" s="592" t="s">
        <v>1303</v>
      </c>
      <c r="F30" s="592" t="s">
        <v>1641</v>
      </c>
    </row>
    <row r="31" spans="1:6" s="591" customFormat="1" x14ac:dyDescent="0.25">
      <c r="A31" s="589" t="str">
        <f t="shared" si="0"/>
        <v>01-A-026</v>
      </c>
      <c r="B31" s="882" t="str">
        <f t="shared" ca="1" si="1"/>
        <v>LET OP: Deze ranglijst maakt gebruikt van macro's en is geschikt voor maximaal ### deelnemers.</v>
      </c>
      <c r="C31" s="591" t="s">
        <v>608</v>
      </c>
      <c r="D31" s="591" t="s">
        <v>611</v>
      </c>
      <c r="E31" s="591" t="s">
        <v>1304</v>
      </c>
      <c r="F31" s="591" t="s">
        <v>1642</v>
      </c>
    </row>
    <row r="32" spans="1:6" s="592" customFormat="1" x14ac:dyDescent="0.25">
      <c r="A32" s="590" t="str">
        <f t="shared" si="0"/>
        <v>01-A-027</v>
      </c>
      <c r="B32" s="883" t="str">
        <f t="shared" ca="1" si="1"/>
        <v>LET OP: Deze update maakt gebruik van macro's. Geadviseerd wordt om deze in te schakelen.</v>
      </c>
      <c r="C32" s="592" t="s">
        <v>609</v>
      </c>
      <c r="D32" s="592" t="s">
        <v>614</v>
      </c>
      <c r="E32" s="592" t="s">
        <v>1305</v>
      </c>
      <c r="F32" s="592" t="s">
        <v>1643</v>
      </c>
    </row>
    <row r="33" spans="1:6" s="579" customFormat="1" x14ac:dyDescent="0.25">
      <c r="A33" s="572" t="str">
        <f t="shared" si="0"/>
        <v>01-A-028</v>
      </c>
      <c r="B33" s="880" t="str">
        <f t="shared" ca="1" si="1"/>
        <v>Deelnemers</v>
      </c>
      <c r="C33" s="571" t="s">
        <v>641</v>
      </c>
      <c r="D33" s="571" t="s">
        <v>642</v>
      </c>
      <c r="E33" s="576" t="s">
        <v>1306</v>
      </c>
      <c r="F33" s="579" t="s">
        <v>1644</v>
      </c>
    </row>
    <row r="34" spans="1:6" s="592" customFormat="1" x14ac:dyDescent="0.25">
      <c r="A34" s="590" t="str">
        <f t="shared" si="0"/>
        <v>01-A-029</v>
      </c>
      <c r="B34" s="883"/>
    </row>
    <row r="35" spans="1:6" s="591" customFormat="1" x14ac:dyDescent="0.25">
      <c r="A35" s="589" t="str">
        <f t="shared" si="0"/>
        <v>01-A-030</v>
      </c>
      <c r="B35" s="882"/>
    </row>
    <row r="36" spans="1:6" s="575" customFormat="1" x14ac:dyDescent="0.25">
      <c r="A36" s="572" t="str">
        <f t="shared" si="0"/>
        <v>01-A-031</v>
      </c>
      <c r="B36" s="867" t="str">
        <f t="shared" ref="B36:B56" ca="1" si="2">INDIRECT(CHAR(64+$C$2)&amp;ROW())</f>
        <v>Voorblad</v>
      </c>
      <c r="C36" s="575" t="s">
        <v>617</v>
      </c>
      <c r="D36" s="575" t="s">
        <v>662</v>
      </c>
      <c r="E36" s="575" t="s">
        <v>1307</v>
      </c>
      <c r="F36" s="575" t="s">
        <v>1645</v>
      </c>
    </row>
    <row r="37" spans="1:6" s="576" customFormat="1" x14ac:dyDescent="0.25">
      <c r="A37" s="587" t="str">
        <f t="shared" si="0"/>
        <v>01-A-032</v>
      </c>
      <c r="B37" s="868" t="str">
        <f t="shared" ca="1" si="2"/>
        <v>Reglement</v>
      </c>
      <c r="C37" s="576" t="s">
        <v>646</v>
      </c>
      <c r="D37" s="576" t="s">
        <v>663</v>
      </c>
      <c r="E37" s="576" t="s">
        <v>1308</v>
      </c>
      <c r="F37" s="576" t="s">
        <v>1646</v>
      </c>
    </row>
    <row r="38" spans="1:6" s="575" customFormat="1" x14ac:dyDescent="0.25">
      <c r="A38" s="588" t="str">
        <f t="shared" si="0"/>
        <v>01-A-033</v>
      </c>
      <c r="B38" s="867" t="str">
        <f t="shared" ca="1" si="2"/>
        <v>Prijzenpot</v>
      </c>
      <c r="C38" s="575" t="s">
        <v>647</v>
      </c>
      <c r="D38" s="575" t="s">
        <v>665</v>
      </c>
      <c r="E38" s="575" t="s">
        <v>1309</v>
      </c>
      <c r="F38" s="575" t="s">
        <v>1647</v>
      </c>
    </row>
    <row r="39" spans="1:6" s="576" customFormat="1" x14ac:dyDescent="0.25">
      <c r="A39" s="587" t="str">
        <f t="shared" si="0"/>
        <v>01-A-034</v>
      </c>
      <c r="B39" s="868" t="str">
        <f t="shared" ca="1" si="2"/>
        <v>Groepswedstrijden</v>
      </c>
      <c r="C39" s="576" t="s">
        <v>648</v>
      </c>
      <c r="D39" s="576" t="s">
        <v>666</v>
      </c>
      <c r="E39" s="576" t="s">
        <v>1310</v>
      </c>
      <c r="F39" s="576" t="s">
        <v>1648</v>
      </c>
    </row>
    <row r="40" spans="1:6" s="575" customFormat="1" x14ac:dyDescent="0.25">
      <c r="A40" s="588" t="str">
        <f t="shared" si="0"/>
        <v>01-A-035</v>
      </c>
      <c r="B40" s="867" t="str">
        <f t="shared" ca="1" si="2"/>
        <v>Eindstand Groep</v>
      </c>
      <c r="C40" s="575" t="s">
        <v>256</v>
      </c>
      <c r="D40" s="575" t="s">
        <v>956</v>
      </c>
      <c r="E40" s="575" t="s">
        <v>1311</v>
      </c>
      <c r="F40" s="575" t="s">
        <v>1649</v>
      </c>
    </row>
    <row r="41" spans="1:6" s="576" customFormat="1" x14ac:dyDescent="0.25">
      <c r="A41" s="587" t="str">
        <f t="shared" si="0"/>
        <v>01-A-036</v>
      </c>
      <c r="B41" s="868" t="str">
        <f t="shared" ca="1" si="2"/>
        <v>Finalewedstrijden</v>
      </c>
      <c r="C41" s="576" t="s">
        <v>649</v>
      </c>
      <c r="D41" s="576" t="s">
        <v>667</v>
      </c>
      <c r="E41" s="576" t="s">
        <v>1312</v>
      </c>
      <c r="F41" s="576" t="s">
        <v>1650</v>
      </c>
    </row>
    <row r="42" spans="1:6" s="575" customFormat="1" x14ac:dyDescent="0.25">
      <c r="A42" s="588" t="str">
        <f t="shared" si="0"/>
        <v>01-A-037</v>
      </c>
      <c r="B42" s="867" t="str">
        <f t="shared" ca="1" si="2"/>
        <v>Bonusvragen</v>
      </c>
      <c r="C42" s="575" t="s">
        <v>100</v>
      </c>
      <c r="D42" s="575" t="s">
        <v>668</v>
      </c>
      <c r="E42" s="575" t="s">
        <v>1313</v>
      </c>
      <c r="F42" s="575" t="s">
        <v>1651</v>
      </c>
    </row>
    <row r="43" spans="1:6" s="576" customFormat="1" x14ac:dyDescent="0.25">
      <c r="A43" s="587" t="str">
        <f t="shared" si="0"/>
        <v>01-A-038</v>
      </c>
      <c r="B43" s="868" t="str">
        <f t="shared" ca="1" si="2"/>
        <v>Deelnamecode</v>
      </c>
      <c r="C43" s="576" t="s">
        <v>650</v>
      </c>
      <c r="D43" s="576" t="s">
        <v>669</v>
      </c>
      <c r="E43" s="576" t="s">
        <v>1314</v>
      </c>
      <c r="F43" s="576" t="s">
        <v>1652</v>
      </c>
    </row>
    <row r="44" spans="1:6" s="592" customFormat="1" x14ac:dyDescent="0.25">
      <c r="A44" s="590" t="str">
        <f t="shared" si="0"/>
        <v>01-A-039</v>
      </c>
      <c r="B44" s="883" t="str">
        <f t="shared" ca="1" si="2"/>
        <v>Reglement Display</v>
      </c>
      <c r="C44" s="592" t="s">
        <v>651</v>
      </c>
      <c r="D44" s="592" t="s">
        <v>670</v>
      </c>
      <c r="E44" s="592" t="s">
        <v>1315</v>
      </c>
      <c r="F44" s="592" t="s">
        <v>1653</v>
      </c>
    </row>
    <row r="45" spans="1:6" s="591" customFormat="1" x14ac:dyDescent="0.25">
      <c r="A45" s="589" t="str">
        <f t="shared" si="0"/>
        <v>01-A-040</v>
      </c>
      <c r="B45" s="882" t="str">
        <f t="shared" ca="1" si="2"/>
        <v>Beheerders Display</v>
      </c>
      <c r="C45" s="591" t="s">
        <v>652</v>
      </c>
      <c r="D45" s="591" t="s">
        <v>671</v>
      </c>
      <c r="E45" s="591" t="s">
        <v>1316</v>
      </c>
      <c r="F45" s="591" t="s">
        <v>1654</v>
      </c>
    </row>
    <row r="46" spans="1:6" s="592" customFormat="1" x14ac:dyDescent="0.25">
      <c r="A46" s="590" t="str">
        <f t="shared" si="0"/>
        <v>01-A-041</v>
      </c>
      <c r="B46" s="883" t="str">
        <f t="shared" ca="1" si="2"/>
        <v>Uitslagen</v>
      </c>
      <c r="C46" s="592" t="s">
        <v>653</v>
      </c>
      <c r="D46" s="592" t="s">
        <v>672</v>
      </c>
      <c r="E46" s="592" t="s">
        <v>1317</v>
      </c>
      <c r="F46" s="592" t="s">
        <v>1655</v>
      </c>
    </row>
    <row r="47" spans="1:6" s="591" customFormat="1" x14ac:dyDescent="0.25">
      <c r="A47" s="589" t="str">
        <f t="shared" si="0"/>
        <v>01-A-042</v>
      </c>
      <c r="B47" s="882" t="str">
        <f t="shared" ca="1" si="2"/>
        <v>Openvragen</v>
      </c>
      <c r="C47" s="591" t="s">
        <v>654</v>
      </c>
      <c r="D47" s="591" t="s">
        <v>673</v>
      </c>
      <c r="E47" s="591" t="s">
        <v>1318</v>
      </c>
      <c r="F47" s="591" t="s">
        <v>1656</v>
      </c>
    </row>
    <row r="48" spans="1:6" s="575" customFormat="1" x14ac:dyDescent="0.25">
      <c r="A48" s="588" t="str">
        <f t="shared" si="0"/>
        <v>01-A-043</v>
      </c>
      <c r="B48" s="867" t="str">
        <f t="shared" ca="1" si="2"/>
        <v>Punten Groepswedstrijden</v>
      </c>
      <c r="C48" s="575" t="s">
        <v>655</v>
      </c>
      <c r="D48" s="575" t="s">
        <v>674</v>
      </c>
      <c r="E48" s="575" t="s">
        <v>1319</v>
      </c>
      <c r="F48" s="575" t="s">
        <v>1657</v>
      </c>
    </row>
    <row r="49" spans="1:6" s="576" customFormat="1" x14ac:dyDescent="0.25">
      <c r="A49" s="587" t="str">
        <f t="shared" si="0"/>
        <v>01-A-044</v>
      </c>
      <c r="B49" s="868" t="str">
        <f t="shared" ca="1" si="2"/>
        <v>Punten Eindstand Groepsdase</v>
      </c>
      <c r="C49" s="576" t="s">
        <v>656</v>
      </c>
      <c r="D49" s="576" t="s">
        <v>957</v>
      </c>
      <c r="E49" s="576" t="s">
        <v>1320</v>
      </c>
      <c r="F49" s="576" t="s">
        <v>1658</v>
      </c>
    </row>
    <row r="50" spans="1:6" s="575" customFormat="1" x14ac:dyDescent="0.25">
      <c r="A50" s="588" t="str">
        <f t="shared" si="0"/>
        <v>01-A-045</v>
      </c>
      <c r="B50" s="867" t="str">
        <f t="shared" ca="1" si="2"/>
        <v>Punten Finalewedstrijden</v>
      </c>
      <c r="C50" s="575" t="s">
        <v>657</v>
      </c>
      <c r="D50" s="575" t="s">
        <v>675</v>
      </c>
      <c r="E50" s="575" t="s">
        <v>1321</v>
      </c>
      <c r="F50" s="575" t="s">
        <v>1659</v>
      </c>
    </row>
    <row r="51" spans="1:6" s="576" customFormat="1" x14ac:dyDescent="0.25">
      <c r="A51" s="587" t="str">
        <f t="shared" si="0"/>
        <v>01-A-046</v>
      </c>
      <c r="B51" s="868" t="str">
        <f t="shared" ca="1" si="2"/>
        <v>Punten Bonusvragen</v>
      </c>
      <c r="C51" s="576" t="s">
        <v>658</v>
      </c>
      <c r="D51" s="576" t="s">
        <v>676</v>
      </c>
      <c r="E51" s="576" t="s">
        <v>1322</v>
      </c>
      <c r="F51" s="576" t="s">
        <v>1660</v>
      </c>
    </row>
    <row r="52" spans="1:6" s="575" customFormat="1" x14ac:dyDescent="0.25">
      <c r="A52" s="588" t="str">
        <f t="shared" si="0"/>
        <v>01-A-047</v>
      </c>
      <c r="B52" s="867" t="str">
        <f t="shared" ca="1" si="2"/>
        <v>Ranglijst</v>
      </c>
      <c r="C52" s="575" t="s">
        <v>659</v>
      </c>
      <c r="D52" s="575" t="s">
        <v>677</v>
      </c>
      <c r="E52" s="575" t="s">
        <v>1323</v>
      </c>
      <c r="F52" s="575" t="s">
        <v>677</v>
      </c>
    </row>
    <row r="53" spans="1:6" s="576" customFormat="1" x14ac:dyDescent="0.25">
      <c r="A53" s="587" t="str">
        <f t="shared" si="0"/>
        <v>01-A-048</v>
      </c>
      <c r="B53" s="868" t="str">
        <f t="shared" ca="1" si="2"/>
        <v>Voorspellingen</v>
      </c>
      <c r="C53" s="576" t="s">
        <v>660</v>
      </c>
      <c r="D53" s="576" t="s">
        <v>679</v>
      </c>
      <c r="E53" s="576" t="s">
        <v>1324</v>
      </c>
      <c r="F53" s="576" t="s">
        <v>1661</v>
      </c>
    </row>
    <row r="54" spans="1:6" s="592" customFormat="1" x14ac:dyDescent="0.25">
      <c r="A54" s="590" t="str">
        <f t="shared" si="0"/>
        <v>01-A-049</v>
      </c>
      <c r="B54" s="883" t="str">
        <f t="shared" ca="1" si="2"/>
        <v>Kladblok</v>
      </c>
      <c r="C54" s="592" t="s">
        <v>661</v>
      </c>
      <c r="D54" s="592" t="s">
        <v>678</v>
      </c>
      <c r="E54" s="592" t="s">
        <v>1325</v>
      </c>
      <c r="F54" s="592" t="s">
        <v>1662</v>
      </c>
    </row>
    <row r="55" spans="1:6" s="591" customFormat="1" x14ac:dyDescent="0.25">
      <c r="A55" s="587" t="str">
        <f t="shared" si="0"/>
        <v>01-A-050</v>
      </c>
      <c r="B55" s="868" t="str">
        <f t="shared" ca="1" si="2"/>
        <v>Teams Instellen</v>
      </c>
      <c r="C55" s="576" t="s">
        <v>1327</v>
      </c>
      <c r="D55" s="576" t="s">
        <v>1328</v>
      </c>
      <c r="E55" s="576" t="s">
        <v>1326</v>
      </c>
      <c r="F55" s="576" t="s">
        <v>2259</v>
      </c>
    </row>
    <row r="56" spans="1:6" s="592" customFormat="1" x14ac:dyDescent="0.25">
      <c r="A56" s="588" t="str">
        <f t="shared" si="0"/>
        <v>01-A-051</v>
      </c>
      <c r="B56" s="867" t="str">
        <f t="shared" ca="1" si="2"/>
        <v>Teams</v>
      </c>
      <c r="C56" s="575" t="s">
        <v>1329</v>
      </c>
      <c r="D56" s="575" t="s">
        <v>1329</v>
      </c>
      <c r="E56" s="575" t="s">
        <v>1329</v>
      </c>
      <c r="F56" s="575" t="s">
        <v>2260</v>
      </c>
    </row>
    <row r="57" spans="1:6" s="591" customFormat="1" x14ac:dyDescent="0.25">
      <c r="A57" s="589" t="str">
        <f t="shared" si="0"/>
        <v>01-A-052</v>
      </c>
      <c r="B57" s="882"/>
    </row>
    <row r="58" spans="1:6" s="592" customFormat="1" x14ac:dyDescent="0.25">
      <c r="A58" s="590" t="str">
        <f t="shared" si="0"/>
        <v>01-A-053</v>
      </c>
      <c r="B58" s="883"/>
    </row>
    <row r="59" spans="1:6" s="591" customFormat="1" x14ac:dyDescent="0.25">
      <c r="A59" s="589" t="str">
        <f t="shared" si="0"/>
        <v>01-A-054</v>
      </c>
      <c r="B59" s="882"/>
    </row>
    <row r="60" spans="1:6" s="592" customFormat="1" x14ac:dyDescent="0.25">
      <c r="A60" s="590" t="str">
        <f t="shared" si="0"/>
        <v>01-A-055</v>
      </c>
      <c r="B60" s="883"/>
    </row>
    <row r="61" spans="1:6" s="584" customFormat="1" x14ac:dyDescent="0.25">
      <c r="A61" s="583" t="str">
        <f t="shared" si="0"/>
        <v>01-A-056</v>
      </c>
      <c r="B61" s="866" t="s">
        <v>618</v>
      </c>
      <c r="C61" s="584" t="str">
        <f t="shared" ref="C61:F65" si="3">B61</f>
        <v>Choose your language</v>
      </c>
      <c r="D61" s="584" t="str">
        <f t="shared" si="3"/>
        <v>Choose your language</v>
      </c>
      <c r="E61" s="584" t="str">
        <f t="shared" si="3"/>
        <v>Choose your language</v>
      </c>
      <c r="F61" s="584" t="str">
        <f t="shared" si="3"/>
        <v>Choose your language</v>
      </c>
    </row>
    <row r="62" spans="1:6" s="570" customFormat="1" x14ac:dyDescent="0.25">
      <c r="A62" s="573" t="str">
        <f t="shared" si="0"/>
        <v>01-A-057</v>
      </c>
      <c r="B62" s="869" t="s">
        <v>619</v>
      </c>
      <c r="C62" s="953" t="str">
        <f t="shared" si="3"/>
        <v>Dutch</v>
      </c>
      <c r="D62" s="953" t="str">
        <f t="shared" si="3"/>
        <v>Dutch</v>
      </c>
      <c r="E62" s="953" t="str">
        <f t="shared" si="3"/>
        <v>Dutch</v>
      </c>
      <c r="F62" s="953" t="str">
        <f t="shared" si="3"/>
        <v>Dutch</v>
      </c>
    </row>
    <row r="63" spans="1:6" s="571" customFormat="1" x14ac:dyDescent="0.25">
      <c r="A63" s="572" t="str">
        <f t="shared" si="0"/>
        <v>01-A-058</v>
      </c>
      <c r="B63" s="880" t="s">
        <v>620</v>
      </c>
      <c r="C63" s="954" t="str">
        <f t="shared" si="3"/>
        <v>English</v>
      </c>
      <c r="D63" s="954" t="str">
        <f t="shared" si="3"/>
        <v>English</v>
      </c>
      <c r="E63" s="954" t="str">
        <f t="shared" si="3"/>
        <v>English</v>
      </c>
      <c r="F63" s="954" t="str">
        <f t="shared" si="3"/>
        <v>English</v>
      </c>
    </row>
    <row r="64" spans="1:6" s="582" customFormat="1" x14ac:dyDescent="0.25">
      <c r="A64" s="588" t="str">
        <f t="shared" si="0"/>
        <v>01-A-059</v>
      </c>
      <c r="B64" s="867" t="s">
        <v>1288</v>
      </c>
      <c r="C64" s="953" t="str">
        <f t="shared" si="3"/>
        <v>German (under development)</v>
      </c>
      <c r="D64" s="953" t="str">
        <f t="shared" si="3"/>
        <v>German (under development)</v>
      </c>
      <c r="E64" s="953" t="str">
        <f t="shared" si="3"/>
        <v>German (under development)</v>
      </c>
      <c r="F64" s="953" t="str">
        <f t="shared" si="3"/>
        <v>German (under development)</v>
      </c>
    </row>
    <row r="65" spans="1:6" s="576" customFormat="1" x14ac:dyDescent="0.25">
      <c r="A65" s="587" t="str">
        <f t="shared" si="0"/>
        <v>01-A-060</v>
      </c>
      <c r="B65" s="868" t="s">
        <v>1626</v>
      </c>
      <c r="C65" s="954" t="str">
        <f t="shared" si="3"/>
        <v>Swedish (under development)</v>
      </c>
      <c r="D65" s="954" t="str">
        <f t="shared" si="3"/>
        <v>Swedish (under development)</v>
      </c>
      <c r="E65" s="954" t="str">
        <f t="shared" si="3"/>
        <v>Swedish (under development)</v>
      </c>
      <c r="F65" s="954" t="str">
        <f t="shared" si="3"/>
        <v>Swedish (under development)</v>
      </c>
    </row>
    <row r="66" spans="1:6" s="582" customFormat="1" x14ac:dyDescent="0.25">
      <c r="A66" s="580" t="str">
        <f t="shared" si="0"/>
        <v>01-A-061</v>
      </c>
      <c r="B66" s="872"/>
    </row>
    <row r="67" spans="1:6" s="579" customFormat="1" x14ac:dyDescent="0.25">
      <c r="A67" s="577" t="str">
        <f t="shared" si="0"/>
        <v>01-A-062</v>
      </c>
      <c r="B67" s="873"/>
    </row>
    <row r="68" spans="1:6" s="582" customFormat="1" x14ac:dyDescent="0.25">
      <c r="A68" s="580" t="str">
        <f t="shared" si="0"/>
        <v>01-A-063</v>
      </c>
      <c r="B68" s="872"/>
    </row>
    <row r="69" spans="1:6" s="579" customFormat="1" x14ac:dyDescent="0.25">
      <c r="A69" s="577" t="str">
        <f t="shared" si="0"/>
        <v>01-A-064</v>
      </c>
      <c r="B69" s="873"/>
    </row>
    <row r="70" spans="1:6" s="582" customFormat="1" x14ac:dyDescent="0.25">
      <c r="A70" s="580" t="str">
        <f t="shared" si="0"/>
        <v>01-A-065</v>
      </c>
      <c r="B70" s="872"/>
    </row>
    <row r="71" spans="1:6" s="579" customFormat="1" x14ac:dyDescent="0.25">
      <c r="A71" s="577" t="str">
        <f t="shared" ref="A71:A134" si="4">LEFT(A70,5)&amp;RIGHT("000"&amp;RIGHT(A70,3)*1+1,3)</f>
        <v>01-A-066</v>
      </c>
      <c r="B71" s="873"/>
    </row>
    <row r="72" spans="1:6" s="582" customFormat="1" x14ac:dyDescent="0.25">
      <c r="A72" s="580" t="str">
        <f t="shared" si="4"/>
        <v>01-A-067</v>
      </c>
      <c r="B72" s="872"/>
    </row>
    <row r="73" spans="1:6" s="579" customFormat="1" x14ac:dyDescent="0.25">
      <c r="A73" s="577" t="str">
        <f t="shared" si="4"/>
        <v>01-A-068</v>
      </c>
      <c r="B73" s="873"/>
    </row>
    <row r="74" spans="1:6" s="582" customFormat="1" x14ac:dyDescent="0.25">
      <c r="A74" s="580" t="str">
        <f t="shared" si="4"/>
        <v>01-A-069</v>
      </c>
      <c r="B74" s="872"/>
    </row>
    <row r="75" spans="1:6" s="579" customFormat="1" x14ac:dyDescent="0.25">
      <c r="A75" s="577" t="str">
        <f t="shared" si="4"/>
        <v>01-A-070</v>
      </c>
      <c r="B75" s="873"/>
    </row>
    <row r="76" spans="1:6" s="582" customFormat="1" x14ac:dyDescent="0.25">
      <c r="A76" s="580" t="str">
        <f t="shared" si="4"/>
        <v>01-A-071</v>
      </c>
      <c r="B76" s="872"/>
    </row>
    <row r="77" spans="1:6" s="579" customFormat="1" x14ac:dyDescent="0.25">
      <c r="A77" s="577" t="str">
        <f t="shared" si="4"/>
        <v>01-A-072</v>
      </c>
      <c r="B77" s="873"/>
    </row>
    <row r="78" spans="1:6" s="582" customFormat="1" x14ac:dyDescent="0.25">
      <c r="A78" s="580" t="str">
        <f t="shared" si="4"/>
        <v>01-A-073</v>
      </c>
      <c r="B78" s="872"/>
    </row>
    <row r="79" spans="1:6" s="579" customFormat="1" x14ac:dyDescent="0.25">
      <c r="A79" s="577" t="str">
        <f t="shared" si="4"/>
        <v>01-A-074</v>
      </c>
      <c r="B79" s="873"/>
    </row>
    <row r="80" spans="1:6" s="582" customFormat="1" x14ac:dyDescent="0.25">
      <c r="A80" s="580" t="str">
        <f t="shared" si="4"/>
        <v>01-A-075</v>
      </c>
      <c r="B80" s="872"/>
    </row>
    <row r="81" spans="1:2" s="579" customFormat="1" x14ac:dyDescent="0.25">
      <c r="A81" s="577" t="str">
        <f t="shared" si="4"/>
        <v>01-A-076</v>
      </c>
      <c r="B81" s="873"/>
    </row>
    <row r="82" spans="1:2" s="582" customFormat="1" x14ac:dyDescent="0.25">
      <c r="A82" s="580" t="str">
        <f t="shared" si="4"/>
        <v>01-A-077</v>
      </c>
      <c r="B82" s="872"/>
    </row>
    <row r="83" spans="1:2" s="579" customFormat="1" x14ac:dyDescent="0.25">
      <c r="A83" s="577" t="str">
        <f t="shared" si="4"/>
        <v>01-A-078</v>
      </c>
      <c r="B83" s="873"/>
    </row>
    <row r="84" spans="1:2" s="582" customFormat="1" x14ac:dyDescent="0.25">
      <c r="A84" s="580" t="str">
        <f t="shared" si="4"/>
        <v>01-A-079</v>
      </c>
      <c r="B84" s="872"/>
    </row>
    <row r="85" spans="1:2" s="579" customFormat="1" x14ac:dyDescent="0.25">
      <c r="A85" s="577" t="str">
        <f t="shared" si="4"/>
        <v>01-A-080</v>
      </c>
      <c r="B85" s="873"/>
    </row>
    <row r="86" spans="1:2" s="582" customFormat="1" x14ac:dyDescent="0.25">
      <c r="A86" s="580" t="str">
        <f t="shared" si="4"/>
        <v>01-A-081</v>
      </c>
      <c r="B86" s="872"/>
    </row>
    <row r="87" spans="1:2" s="579" customFormat="1" x14ac:dyDescent="0.25">
      <c r="A87" s="577" t="str">
        <f t="shared" si="4"/>
        <v>01-A-082</v>
      </c>
      <c r="B87" s="873"/>
    </row>
    <row r="88" spans="1:2" s="582" customFormat="1" x14ac:dyDescent="0.25">
      <c r="A88" s="580" t="str">
        <f t="shared" si="4"/>
        <v>01-A-083</v>
      </c>
      <c r="B88" s="872"/>
    </row>
    <row r="89" spans="1:2" s="579" customFormat="1" x14ac:dyDescent="0.25">
      <c r="A89" s="577" t="str">
        <f t="shared" si="4"/>
        <v>01-A-084</v>
      </c>
      <c r="B89" s="873"/>
    </row>
    <row r="90" spans="1:2" s="582" customFormat="1" x14ac:dyDescent="0.25">
      <c r="A90" s="580" t="str">
        <f t="shared" si="4"/>
        <v>01-A-085</v>
      </c>
      <c r="B90" s="872"/>
    </row>
    <row r="91" spans="1:2" s="579" customFormat="1" x14ac:dyDescent="0.25">
      <c r="A91" s="577" t="str">
        <f t="shared" si="4"/>
        <v>01-A-086</v>
      </c>
      <c r="B91" s="873"/>
    </row>
    <row r="92" spans="1:2" s="582" customFormat="1" x14ac:dyDescent="0.25">
      <c r="A92" s="580" t="str">
        <f t="shared" si="4"/>
        <v>01-A-087</v>
      </c>
      <c r="B92" s="872"/>
    </row>
    <row r="93" spans="1:2" s="579" customFormat="1" x14ac:dyDescent="0.25">
      <c r="A93" s="577" t="str">
        <f t="shared" si="4"/>
        <v>01-A-088</v>
      </c>
      <c r="B93" s="873"/>
    </row>
    <row r="94" spans="1:2" s="582" customFormat="1" x14ac:dyDescent="0.25">
      <c r="A94" s="580" t="str">
        <f t="shared" si="4"/>
        <v>01-A-089</v>
      </c>
      <c r="B94" s="872"/>
    </row>
    <row r="95" spans="1:2" s="579" customFormat="1" x14ac:dyDescent="0.25">
      <c r="A95" s="577" t="str">
        <f t="shared" si="4"/>
        <v>01-A-090</v>
      </c>
      <c r="B95" s="873"/>
    </row>
    <row r="96" spans="1:2" s="582" customFormat="1" x14ac:dyDescent="0.25">
      <c r="A96" s="580" t="str">
        <f t="shared" si="4"/>
        <v>01-A-091</v>
      </c>
      <c r="B96" s="872"/>
    </row>
    <row r="97" spans="1:2" s="579" customFormat="1" x14ac:dyDescent="0.25">
      <c r="A97" s="577" t="str">
        <f t="shared" si="4"/>
        <v>01-A-092</v>
      </c>
      <c r="B97" s="873"/>
    </row>
    <row r="98" spans="1:2" s="582" customFormat="1" x14ac:dyDescent="0.25">
      <c r="A98" s="580" t="str">
        <f t="shared" si="4"/>
        <v>01-A-093</v>
      </c>
      <c r="B98" s="872"/>
    </row>
    <row r="99" spans="1:2" s="579" customFormat="1" x14ac:dyDescent="0.25">
      <c r="A99" s="577" t="str">
        <f t="shared" si="4"/>
        <v>01-A-094</v>
      </c>
      <c r="B99" s="873"/>
    </row>
    <row r="100" spans="1:2" s="582" customFormat="1" x14ac:dyDescent="0.25">
      <c r="A100" s="580" t="str">
        <f t="shared" si="4"/>
        <v>01-A-095</v>
      </c>
      <c r="B100" s="872"/>
    </row>
    <row r="101" spans="1:2" s="579" customFormat="1" x14ac:dyDescent="0.25">
      <c r="A101" s="577" t="str">
        <f t="shared" si="4"/>
        <v>01-A-096</v>
      </c>
      <c r="B101" s="873"/>
    </row>
    <row r="102" spans="1:2" s="582" customFormat="1" x14ac:dyDescent="0.25">
      <c r="A102" s="580" t="str">
        <f t="shared" si="4"/>
        <v>01-A-097</v>
      </c>
      <c r="B102" s="872"/>
    </row>
    <row r="103" spans="1:2" s="579" customFormat="1" x14ac:dyDescent="0.25">
      <c r="A103" s="577" t="str">
        <f t="shared" si="4"/>
        <v>01-A-098</v>
      </c>
      <c r="B103" s="873"/>
    </row>
    <row r="104" spans="1:2" s="582" customFormat="1" x14ac:dyDescent="0.25">
      <c r="A104" s="580" t="str">
        <f t="shared" si="4"/>
        <v>01-A-099</v>
      </c>
      <c r="B104" s="872"/>
    </row>
    <row r="105" spans="1:2" s="579" customFormat="1" x14ac:dyDescent="0.25">
      <c r="A105" s="577" t="str">
        <f t="shared" si="4"/>
        <v>01-A-100</v>
      </c>
      <c r="B105" s="873"/>
    </row>
    <row r="106" spans="1:2" s="582" customFormat="1" x14ac:dyDescent="0.25">
      <c r="A106" s="580" t="str">
        <f t="shared" si="4"/>
        <v>01-A-101</v>
      </c>
      <c r="B106" s="872"/>
    </row>
    <row r="107" spans="1:2" s="579" customFormat="1" x14ac:dyDescent="0.25">
      <c r="A107" s="577" t="str">
        <f t="shared" si="4"/>
        <v>01-A-102</v>
      </c>
      <c r="B107" s="873"/>
    </row>
    <row r="108" spans="1:2" s="582" customFormat="1" x14ac:dyDescent="0.25">
      <c r="A108" s="580" t="str">
        <f t="shared" si="4"/>
        <v>01-A-103</v>
      </c>
      <c r="B108" s="872"/>
    </row>
    <row r="109" spans="1:2" s="579" customFormat="1" x14ac:dyDescent="0.25">
      <c r="A109" s="577" t="str">
        <f t="shared" si="4"/>
        <v>01-A-104</v>
      </c>
      <c r="B109" s="873"/>
    </row>
    <row r="110" spans="1:2" s="582" customFormat="1" x14ac:dyDescent="0.25">
      <c r="A110" s="580" t="str">
        <f t="shared" si="4"/>
        <v>01-A-105</v>
      </c>
      <c r="B110" s="872"/>
    </row>
    <row r="111" spans="1:2" s="579" customFormat="1" x14ac:dyDescent="0.25">
      <c r="A111" s="577" t="str">
        <f t="shared" si="4"/>
        <v>01-A-106</v>
      </c>
      <c r="B111" s="873"/>
    </row>
    <row r="112" spans="1:2" s="582" customFormat="1" x14ac:dyDescent="0.25">
      <c r="A112" s="580" t="str">
        <f t="shared" si="4"/>
        <v>01-A-107</v>
      </c>
      <c r="B112" s="872"/>
    </row>
    <row r="113" spans="1:2" s="579" customFormat="1" x14ac:dyDescent="0.25">
      <c r="A113" s="577" t="str">
        <f t="shared" si="4"/>
        <v>01-A-108</v>
      </c>
      <c r="B113" s="873"/>
    </row>
    <row r="114" spans="1:2" s="582" customFormat="1" x14ac:dyDescent="0.25">
      <c r="A114" s="580" t="str">
        <f t="shared" si="4"/>
        <v>01-A-109</v>
      </c>
      <c r="B114" s="872"/>
    </row>
    <row r="115" spans="1:2" s="579" customFormat="1" x14ac:dyDescent="0.25">
      <c r="A115" s="577" t="str">
        <f t="shared" si="4"/>
        <v>01-A-110</v>
      </c>
      <c r="B115" s="873"/>
    </row>
    <row r="116" spans="1:2" s="582" customFormat="1" x14ac:dyDescent="0.25">
      <c r="A116" s="580" t="str">
        <f t="shared" si="4"/>
        <v>01-A-111</v>
      </c>
      <c r="B116" s="872"/>
    </row>
    <row r="117" spans="1:2" s="579" customFormat="1" x14ac:dyDescent="0.25">
      <c r="A117" s="577" t="str">
        <f t="shared" si="4"/>
        <v>01-A-112</v>
      </c>
      <c r="B117" s="873"/>
    </row>
    <row r="118" spans="1:2" s="582" customFormat="1" x14ac:dyDescent="0.25">
      <c r="A118" s="580" t="str">
        <f t="shared" si="4"/>
        <v>01-A-113</v>
      </c>
      <c r="B118" s="872"/>
    </row>
    <row r="119" spans="1:2" s="579" customFormat="1" x14ac:dyDescent="0.25">
      <c r="A119" s="577" t="str">
        <f t="shared" si="4"/>
        <v>01-A-114</v>
      </c>
      <c r="B119" s="873"/>
    </row>
    <row r="120" spans="1:2" s="582" customFormat="1" x14ac:dyDescent="0.25">
      <c r="A120" s="580" t="str">
        <f t="shared" si="4"/>
        <v>01-A-115</v>
      </c>
      <c r="B120" s="872"/>
    </row>
    <row r="121" spans="1:2" s="579" customFormat="1" x14ac:dyDescent="0.25">
      <c r="A121" s="577" t="str">
        <f t="shared" si="4"/>
        <v>01-A-116</v>
      </c>
      <c r="B121" s="873"/>
    </row>
    <row r="122" spans="1:2" s="582" customFormat="1" x14ac:dyDescent="0.25">
      <c r="A122" s="580" t="str">
        <f t="shared" si="4"/>
        <v>01-A-117</v>
      </c>
      <c r="B122" s="872"/>
    </row>
    <row r="123" spans="1:2" s="579" customFormat="1" x14ac:dyDescent="0.25">
      <c r="A123" s="577" t="str">
        <f t="shared" si="4"/>
        <v>01-A-118</v>
      </c>
      <c r="B123" s="873"/>
    </row>
    <row r="124" spans="1:2" s="582" customFormat="1" x14ac:dyDescent="0.25">
      <c r="A124" s="580" t="str">
        <f t="shared" si="4"/>
        <v>01-A-119</v>
      </c>
      <c r="B124" s="872"/>
    </row>
    <row r="125" spans="1:2" s="579" customFormat="1" x14ac:dyDescent="0.25">
      <c r="A125" s="577" t="str">
        <f t="shared" si="4"/>
        <v>01-A-120</v>
      </c>
      <c r="B125" s="873"/>
    </row>
    <row r="126" spans="1:2" s="582" customFormat="1" x14ac:dyDescent="0.25">
      <c r="A126" s="580" t="str">
        <f t="shared" si="4"/>
        <v>01-A-121</v>
      </c>
      <c r="B126" s="872"/>
    </row>
    <row r="127" spans="1:2" s="579" customFormat="1" x14ac:dyDescent="0.25">
      <c r="A127" s="577" t="str">
        <f t="shared" si="4"/>
        <v>01-A-122</v>
      </c>
      <c r="B127" s="873"/>
    </row>
    <row r="128" spans="1:2" s="582" customFormat="1" x14ac:dyDescent="0.25">
      <c r="A128" s="580" t="str">
        <f t="shared" si="4"/>
        <v>01-A-123</v>
      </c>
      <c r="B128" s="872"/>
    </row>
    <row r="129" spans="1:2" s="579" customFormat="1" x14ac:dyDescent="0.25">
      <c r="A129" s="577" t="str">
        <f t="shared" si="4"/>
        <v>01-A-124</v>
      </c>
      <c r="B129" s="873"/>
    </row>
    <row r="130" spans="1:2" s="582" customFormat="1" x14ac:dyDescent="0.25">
      <c r="A130" s="580" t="str">
        <f t="shared" si="4"/>
        <v>01-A-125</v>
      </c>
      <c r="B130" s="872"/>
    </row>
    <row r="131" spans="1:2" s="579" customFormat="1" x14ac:dyDescent="0.25">
      <c r="A131" s="577" t="str">
        <f t="shared" si="4"/>
        <v>01-A-126</v>
      </c>
      <c r="B131" s="873"/>
    </row>
    <row r="132" spans="1:2" s="582" customFormat="1" x14ac:dyDescent="0.25">
      <c r="A132" s="580" t="str">
        <f t="shared" si="4"/>
        <v>01-A-127</v>
      </c>
      <c r="B132" s="872"/>
    </row>
    <row r="133" spans="1:2" s="579" customFormat="1" x14ac:dyDescent="0.25">
      <c r="A133" s="577" t="str">
        <f t="shared" si="4"/>
        <v>01-A-128</v>
      </c>
      <c r="B133" s="873"/>
    </row>
    <row r="134" spans="1:2" s="582" customFormat="1" x14ac:dyDescent="0.25">
      <c r="A134" s="580" t="str">
        <f t="shared" si="4"/>
        <v>01-A-129</v>
      </c>
      <c r="B134" s="872"/>
    </row>
    <row r="135" spans="1:2" s="579" customFormat="1" x14ac:dyDescent="0.25">
      <c r="A135" s="577" t="str">
        <f t="shared" ref="A135:A198" si="5">LEFT(A134,5)&amp;RIGHT("000"&amp;RIGHT(A134,3)*1+1,3)</f>
        <v>01-A-130</v>
      </c>
      <c r="B135" s="873"/>
    </row>
    <row r="136" spans="1:2" s="582" customFormat="1" x14ac:dyDescent="0.25">
      <c r="A136" s="580" t="str">
        <f t="shared" si="5"/>
        <v>01-A-131</v>
      </c>
      <c r="B136" s="872"/>
    </row>
    <row r="137" spans="1:2" s="579" customFormat="1" x14ac:dyDescent="0.25">
      <c r="A137" s="577" t="str">
        <f t="shared" si="5"/>
        <v>01-A-132</v>
      </c>
      <c r="B137" s="873"/>
    </row>
    <row r="138" spans="1:2" s="582" customFormat="1" x14ac:dyDescent="0.25">
      <c r="A138" s="580" t="str">
        <f t="shared" si="5"/>
        <v>01-A-133</v>
      </c>
      <c r="B138" s="872"/>
    </row>
    <row r="139" spans="1:2" s="579" customFormat="1" x14ac:dyDescent="0.25">
      <c r="A139" s="577" t="str">
        <f t="shared" si="5"/>
        <v>01-A-134</v>
      </c>
      <c r="B139" s="873"/>
    </row>
    <row r="140" spans="1:2" s="582" customFormat="1" x14ac:dyDescent="0.25">
      <c r="A140" s="580" t="str">
        <f t="shared" si="5"/>
        <v>01-A-135</v>
      </c>
      <c r="B140" s="872"/>
    </row>
    <row r="141" spans="1:2" s="579" customFormat="1" x14ac:dyDescent="0.25">
      <c r="A141" s="577" t="str">
        <f t="shared" si="5"/>
        <v>01-A-136</v>
      </c>
      <c r="B141" s="873"/>
    </row>
    <row r="142" spans="1:2" s="582" customFormat="1" x14ac:dyDescent="0.25">
      <c r="A142" s="580" t="str">
        <f t="shared" si="5"/>
        <v>01-A-137</v>
      </c>
      <c r="B142" s="872"/>
    </row>
    <row r="143" spans="1:2" s="579" customFormat="1" x14ac:dyDescent="0.25">
      <c r="A143" s="577" t="str">
        <f t="shared" si="5"/>
        <v>01-A-138</v>
      </c>
      <c r="B143" s="873"/>
    </row>
    <row r="144" spans="1:2" s="582" customFormat="1" x14ac:dyDescent="0.25">
      <c r="A144" s="580" t="str">
        <f t="shared" si="5"/>
        <v>01-A-139</v>
      </c>
      <c r="B144" s="872"/>
    </row>
    <row r="145" spans="1:2" s="579" customFormat="1" x14ac:dyDescent="0.25">
      <c r="A145" s="577" t="str">
        <f t="shared" si="5"/>
        <v>01-A-140</v>
      </c>
      <c r="B145" s="873"/>
    </row>
    <row r="146" spans="1:2" s="582" customFormat="1" x14ac:dyDescent="0.25">
      <c r="A146" s="580" t="str">
        <f t="shared" si="5"/>
        <v>01-A-141</v>
      </c>
      <c r="B146" s="872"/>
    </row>
    <row r="147" spans="1:2" s="579" customFormat="1" x14ac:dyDescent="0.25">
      <c r="A147" s="577" t="str">
        <f t="shared" si="5"/>
        <v>01-A-142</v>
      </c>
      <c r="B147" s="873"/>
    </row>
    <row r="148" spans="1:2" s="582" customFormat="1" x14ac:dyDescent="0.25">
      <c r="A148" s="580" t="str">
        <f t="shared" si="5"/>
        <v>01-A-143</v>
      </c>
      <c r="B148" s="872"/>
    </row>
    <row r="149" spans="1:2" s="579" customFormat="1" x14ac:dyDescent="0.25">
      <c r="A149" s="577" t="str">
        <f t="shared" si="5"/>
        <v>01-A-144</v>
      </c>
      <c r="B149" s="873"/>
    </row>
    <row r="150" spans="1:2" s="582" customFormat="1" x14ac:dyDescent="0.25">
      <c r="A150" s="580" t="str">
        <f t="shared" si="5"/>
        <v>01-A-145</v>
      </c>
      <c r="B150" s="872"/>
    </row>
    <row r="151" spans="1:2" s="579" customFormat="1" x14ac:dyDescent="0.25">
      <c r="A151" s="577" t="str">
        <f t="shared" si="5"/>
        <v>01-A-146</v>
      </c>
      <c r="B151" s="873"/>
    </row>
    <row r="152" spans="1:2" s="582" customFormat="1" x14ac:dyDescent="0.25">
      <c r="A152" s="580" t="str">
        <f t="shared" si="5"/>
        <v>01-A-147</v>
      </c>
      <c r="B152" s="872"/>
    </row>
    <row r="153" spans="1:2" s="579" customFormat="1" x14ac:dyDescent="0.25">
      <c r="A153" s="577" t="str">
        <f t="shared" si="5"/>
        <v>01-A-148</v>
      </c>
      <c r="B153" s="873"/>
    </row>
    <row r="154" spans="1:2" s="582" customFormat="1" x14ac:dyDescent="0.25">
      <c r="A154" s="580" t="str">
        <f t="shared" si="5"/>
        <v>01-A-149</v>
      </c>
      <c r="B154" s="872"/>
    </row>
    <row r="155" spans="1:2" s="579" customFormat="1" x14ac:dyDescent="0.25">
      <c r="A155" s="577" t="str">
        <f t="shared" si="5"/>
        <v>01-A-150</v>
      </c>
      <c r="B155" s="873"/>
    </row>
    <row r="156" spans="1:2" s="582" customFormat="1" x14ac:dyDescent="0.25">
      <c r="A156" s="580" t="str">
        <f t="shared" si="5"/>
        <v>01-A-151</v>
      </c>
      <c r="B156" s="872"/>
    </row>
    <row r="157" spans="1:2" s="579" customFormat="1" x14ac:dyDescent="0.25">
      <c r="A157" s="577" t="str">
        <f t="shared" si="5"/>
        <v>01-A-152</v>
      </c>
      <c r="B157" s="873"/>
    </row>
    <row r="158" spans="1:2" s="582" customFormat="1" x14ac:dyDescent="0.25">
      <c r="A158" s="580" t="str">
        <f t="shared" si="5"/>
        <v>01-A-153</v>
      </c>
      <c r="B158" s="872"/>
    </row>
    <row r="159" spans="1:2" s="579" customFormat="1" x14ac:dyDescent="0.25">
      <c r="A159" s="577" t="str">
        <f t="shared" si="5"/>
        <v>01-A-154</v>
      </c>
      <c r="B159" s="873"/>
    </row>
    <row r="160" spans="1:2" s="582" customFormat="1" x14ac:dyDescent="0.25">
      <c r="A160" s="580" t="str">
        <f t="shared" si="5"/>
        <v>01-A-155</v>
      </c>
      <c r="B160" s="872"/>
    </row>
    <row r="161" spans="1:2" s="579" customFormat="1" x14ac:dyDescent="0.25">
      <c r="A161" s="577" t="str">
        <f t="shared" si="5"/>
        <v>01-A-156</v>
      </c>
      <c r="B161" s="873"/>
    </row>
    <row r="162" spans="1:2" s="582" customFormat="1" x14ac:dyDescent="0.25">
      <c r="A162" s="580" t="str">
        <f t="shared" si="5"/>
        <v>01-A-157</v>
      </c>
      <c r="B162" s="872"/>
    </row>
    <row r="163" spans="1:2" s="579" customFormat="1" x14ac:dyDescent="0.25">
      <c r="A163" s="577" t="str">
        <f t="shared" si="5"/>
        <v>01-A-158</v>
      </c>
      <c r="B163" s="873"/>
    </row>
    <row r="164" spans="1:2" s="582" customFormat="1" x14ac:dyDescent="0.25">
      <c r="A164" s="580" t="str">
        <f t="shared" si="5"/>
        <v>01-A-159</v>
      </c>
      <c r="B164" s="872"/>
    </row>
    <row r="165" spans="1:2" s="579" customFormat="1" x14ac:dyDescent="0.25">
      <c r="A165" s="577" t="str">
        <f t="shared" si="5"/>
        <v>01-A-160</v>
      </c>
      <c r="B165" s="873"/>
    </row>
    <row r="166" spans="1:2" s="582" customFormat="1" x14ac:dyDescent="0.25">
      <c r="A166" s="580" t="str">
        <f t="shared" si="5"/>
        <v>01-A-161</v>
      </c>
      <c r="B166" s="872"/>
    </row>
    <row r="167" spans="1:2" s="579" customFormat="1" x14ac:dyDescent="0.25">
      <c r="A167" s="577" t="str">
        <f t="shared" si="5"/>
        <v>01-A-162</v>
      </c>
      <c r="B167" s="873"/>
    </row>
    <row r="168" spans="1:2" s="582" customFormat="1" x14ac:dyDescent="0.25">
      <c r="A168" s="580" t="str">
        <f t="shared" si="5"/>
        <v>01-A-163</v>
      </c>
      <c r="B168" s="872"/>
    </row>
    <row r="169" spans="1:2" s="579" customFormat="1" x14ac:dyDescent="0.25">
      <c r="A169" s="577" t="str">
        <f t="shared" si="5"/>
        <v>01-A-164</v>
      </c>
      <c r="B169" s="873"/>
    </row>
    <row r="170" spans="1:2" s="582" customFormat="1" x14ac:dyDescent="0.25">
      <c r="A170" s="580" t="str">
        <f t="shared" si="5"/>
        <v>01-A-165</v>
      </c>
      <c r="B170" s="872"/>
    </row>
    <row r="171" spans="1:2" s="579" customFormat="1" x14ac:dyDescent="0.25">
      <c r="A171" s="577" t="str">
        <f t="shared" si="5"/>
        <v>01-A-166</v>
      </c>
      <c r="B171" s="873"/>
    </row>
    <row r="172" spans="1:2" s="582" customFormat="1" x14ac:dyDescent="0.25">
      <c r="A172" s="580" t="str">
        <f t="shared" si="5"/>
        <v>01-A-167</v>
      </c>
      <c r="B172" s="872"/>
    </row>
    <row r="173" spans="1:2" s="579" customFormat="1" x14ac:dyDescent="0.25">
      <c r="A173" s="577" t="str">
        <f t="shared" si="5"/>
        <v>01-A-168</v>
      </c>
      <c r="B173" s="873"/>
    </row>
    <row r="174" spans="1:2" s="582" customFormat="1" x14ac:dyDescent="0.25">
      <c r="A174" s="580" t="str">
        <f t="shared" si="5"/>
        <v>01-A-169</v>
      </c>
      <c r="B174" s="872"/>
    </row>
    <row r="175" spans="1:2" s="579" customFormat="1" x14ac:dyDescent="0.25">
      <c r="A175" s="577" t="str">
        <f t="shared" si="5"/>
        <v>01-A-170</v>
      </c>
      <c r="B175" s="873"/>
    </row>
    <row r="176" spans="1:2" s="582" customFormat="1" x14ac:dyDescent="0.25">
      <c r="A176" s="580" t="str">
        <f t="shared" si="5"/>
        <v>01-A-171</v>
      </c>
      <c r="B176" s="872"/>
    </row>
    <row r="177" spans="1:2" s="579" customFormat="1" x14ac:dyDescent="0.25">
      <c r="A177" s="577" t="str">
        <f t="shared" si="5"/>
        <v>01-A-172</v>
      </c>
      <c r="B177" s="873"/>
    </row>
    <row r="178" spans="1:2" s="582" customFormat="1" x14ac:dyDescent="0.25">
      <c r="A178" s="580" t="str">
        <f t="shared" si="5"/>
        <v>01-A-173</v>
      </c>
      <c r="B178" s="872"/>
    </row>
    <row r="179" spans="1:2" s="579" customFormat="1" x14ac:dyDescent="0.25">
      <c r="A179" s="577" t="str">
        <f t="shared" si="5"/>
        <v>01-A-174</v>
      </c>
      <c r="B179" s="873"/>
    </row>
    <row r="180" spans="1:2" s="582" customFormat="1" x14ac:dyDescent="0.25">
      <c r="A180" s="580" t="str">
        <f t="shared" si="5"/>
        <v>01-A-175</v>
      </c>
      <c r="B180" s="872"/>
    </row>
    <row r="181" spans="1:2" s="579" customFormat="1" x14ac:dyDescent="0.25">
      <c r="A181" s="577" t="str">
        <f t="shared" si="5"/>
        <v>01-A-176</v>
      </c>
      <c r="B181" s="873"/>
    </row>
    <row r="182" spans="1:2" s="582" customFormat="1" x14ac:dyDescent="0.25">
      <c r="A182" s="580" t="str">
        <f t="shared" si="5"/>
        <v>01-A-177</v>
      </c>
      <c r="B182" s="872"/>
    </row>
    <row r="183" spans="1:2" s="579" customFormat="1" x14ac:dyDescent="0.25">
      <c r="A183" s="577" t="str">
        <f t="shared" si="5"/>
        <v>01-A-178</v>
      </c>
      <c r="B183" s="873"/>
    </row>
    <row r="184" spans="1:2" s="582" customFormat="1" x14ac:dyDescent="0.25">
      <c r="A184" s="580" t="str">
        <f t="shared" si="5"/>
        <v>01-A-179</v>
      </c>
      <c r="B184" s="872"/>
    </row>
    <row r="185" spans="1:2" s="579" customFormat="1" x14ac:dyDescent="0.25">
      <c r="A185" s="577" t="str">
        <f t="shared" si="5"/>
        <v>01-A-180</v>
      </c>
      <c r="B185" s="873"/>
    </row>
    <row r="186" spans="1:2" s="582" customFormat="1" x14ac:dyDescent="0.25">
      <c r="A186" s="580" t="str">
        <f t="shared" si="5"/>
        <v>01-A-181</v>
      </c>
      <c r="B186" s="872"/>
    </row>
    <row r="187" spans="1:2" s="579" customFormat="1" x14ac:dyDescent="0.25">
      <c r="A187" s="577" t="str">
        <f t="shared" si="5"/>
        <v>01-A-182</v>
      </c>
      <c r="B187" s="873"/>
    </row>
    <row r="188" spans="1:2" s="582" customFormat="1" x14ac:dyDescent="0.25">
      <c r="A188" s="580" t="str">
        <f t="shared" si="5"/>
        <v>01-A-183</v>
      </c>
      <c r="B188" s="872"/>
    </row>
    <row r="189" spans="1:2" s="579" customFormat="1" x14ac:dyDescent="0.25">
      <c r="A189" s="577" t="str">
        <f t="shared" si="5"/>
        <v>01-A-184</v>
      </c>
      <c r="B189" s="873"/>
    </row>
    <row r="190" spans="1:2" s="582" customFormat="1" x14ac:dyDescent="0.25">
      <c r="A190" s="580" t="str">
        <f t="shared" si="5"/>
        <v>01-A-185</v>
      </c>
      <c r="B190" s="872"/>
    </row>
    <row r="191" spans="1:2" s="579" customFormat="1" x14ac:dyDescent="0.25">
      <c r="A191" s="577" t="str">
        <f t="shared" si="5"/>
        <v>01-A-186</v>
      </c>
      <c r="B191" s="873"/>
    </row>
    <row r="192" spans="1:2" s="582" customFormat="1" x14ac:dyDescent="0.25">
      <c r="A192" s="580" t="str">
        <f t="shared" si="5"/>
        <v>01-A-187</v>
      </c>
      <c r="B192" s="872"/>
    </row>
    <row r="193" spans="1:2" s="579" customFormat="1" x14ac:dyDescent="0.25">
      <c r="A193" s="577" t="str">
        <f t="shared" si="5"/>
        <v>01-A-188</v>
      </c>
      <c r="B193" s="873"/>
    </row>
    <row r="194" spans="1:2" s="582" customFormat="1" x14ac:dyDescent="0.25">
      <c r="A194" s="580" t="str">
        <f t="shared" si="5"/>
        <v>01-A-189</v>
      </c>
      <c r="B194" s="872"/>
    </row>
    <row r="195" spans="1:2" s="579" customFormat="1" x14ac:dyDescent="0.25">
      <c r="A195" s="577" t="str">
        <f t="shared" si="5"/>
        <v>01-A-190</v>
      </c>
      <c r="B195" s="873"/>
    </row>
    <row r="196" spans="1:2" s="582" customFormat="1" x14ac:dyDescent="0.25">
      <c r="A196" s="580" t="str">
        <f t="shared" si="5"/>
        <v>01-A-191</v>
      </c>
      <c r="B196" s="872"/>
    </row>
    <row r="197" spans="1:2" s="579" customFormat="1" x14ac:dyDescent="0.25">
      <c r="A197" s="577" t="str">
        <f t="shared" si="5"/>
        <v>01-A-192</v>
      </c>
      <c r="B197" s="873"/>
    </row>
    <row r="198" spans="1:2" s="582" customFormat="1" x14ac:dyDescent="0.25">
      <c r="A198" s="580" t="str">
        <f t="shared" si="5"/>
        <v>01-A-193</v>
      </c>
      <c r="B198" s="872"/>
    </row>
    <row r="199" spans="1:2" s="579" customFormat="1" x14ac:dyDescent="0.25">
      <c r="A199" s="577" t="str">
        <f t="shared" ref="A199:A250" si="6">LEFT(A198,5)&amp;RIGHT("000"&amp;RIGHT(A198,3)*1+1,3)</f>
        <v>01-A-194</v>
      </c>
      <c r="B199" s="873"/>
    </row>
    <row r="200" spans="1:2" s="582" customFormat="1" x14ac:dyDescent="0.25">
      <c r="A200" s="580" t="str">
        <f t="shared" si="6"/>
        <v>01-A-195</v>
      </c>
      <c r="B200" s="872"/>
    </row>
    <row r="201" spans="1:2" s="579" customFormat="1" x14ac:dyDescent="0.25">
      <c r="A201" s="577" t="str">
        <f t="shared" si="6"/>
        <v>01-A-196</v>
      </c>
      <c r="B201" s="873"/>
    </row>
    <row r="202" spans="1:2" s="582" customFormat="1" x14ac:dyDescent="0.25">
      <c r="A202" s="580" t="str">
        <f t="shared" si="6"/>
        <v>01-A-197</v>
      </c>
      <c r="B202" s="872"/>
    </row>
    <row r="203" spans="1:2" s="579" customFormat="1" x14ac:dyDescent="0.25">
      <c r="A203" s="577" t="str">
        <f t="shared" si="6"/>
        <v>01-A-198</v>
      </c>
      <c r="B203" s="873"/>
    </row>
    <row r="204" spans="1:2" s="582" customFormat="1" x14ac:dyDescent="0.25">
      <c r="A204" s="580" t="str">
        <f t="shared" si="6"/>
        <v>01-A-199</v>
      </c>
      <c r="B204" s="872"/>
    </row>
    <row r="205" spans="1:2" s="579" customFormat="1" x14ac:dyDescent="0.25">
      <c r="A205" s="577" t="str">
        <f t="shared" si="6"/>
        <v>01-A-200</v>
      </c>
      <c r="B205" s="873"/>
    </row>
    <row r="206" spans="1:2" s="582" customFormat="1" x14ac:dyDescent="0.25">
      <c r="A206" s="580" t="str">
        <f t="shared" si="6"/>
        <v>01-A-201</v>
      </c>
      <c r="B206" s="872"/>
    </row>
    <row r="207" spans="1:2" s="579" customFormat="1" x14ac:dyDescent="0.25">
      <c r="A207" s="577" t="str">
        <f t="shared" si="6"/>
        <v>01-A-202</v>
      </c>
      <c r="B207" s="873"/>
    </row>
    <row r="208" spans="1:2" s="582" customFormat="1" x14ac:dyDescent="0.25">
      <c r="A208" s="580" t="str">
        <f t="shared" si="6"/>
        <v>01-A-203</v>
      </c>
      <c r="B208" s="872"/>
    </row>
    <row r="209" spans="1:2" s="579" customFormat="1" x14ac:dyDescent="0.25">
      <c r="A209" s="577" t="str">
        <f t="shared" si="6"/>
        <v>01-A-204</v>
      </c>
      <c r="B209" s="873"/>
    </row>
    <row r="210" spans="1:2" s="582" customFormat="1" x14ac:dyDescent="0.25">
      <c r="A210" s="580" t="str">
        <f t="shared" si="6"/>
        <v>01-A-205</v>
      </c>
      <c r="B210" s="872"/>
    </row>
    <row r="211" spans="1:2" s="579" customFormat="1" x14ac:dyDescent="0.25">
      <c r="A211" s="577" t="str">
        <f t="shared" si="6"/>
        <v>01-A-206</v>
      </c>
      <c r="B211" s="873"/>
    </row>
    <row r="212" spans="1:2" s="582" customFormat="1" x14ac:dyDescent="0.25">
      <c r="A212" s="580" t="str">
        <f t="shared" si="6"/>
        <v>01-A-207</v>
      </c>
      <c r="B212" s="872"/>
    </row>
    <row r="213" spans="1:2" s="579" customFormat="1" x14ac:dyDescent="0.25">
      <c r="A213" s="577" t="str">
        <f t="shared" si="6"/>
        <v>01-A-208</v>
      </c>
      <c r="B213" s="873"/>
    </row>
    <row r="214" spans="1:2" s="582" customFormat="1" x14ac:dyDescent="0.25">
      <c r="A214" s="580" t="str">
        <f t="shared" si="6"/>
        <v>01-A-209</v>
      </c>
      <c r="B214" s="872"/>
    </row>
    <row r="215" spans="1:2" s="579" customFormat="1" x14ac:dyDescent="0.25">
      <c r="A215" s="577" t="str">
        <f t="shared" si="6"/>
        <v>01-A-210</v>
      </c>
      <c r="B215" s="873"/>
    </row>
    <row r="216" spans="1:2" s="582" customFormat="1" x14ac:dyDescent="0.25">
      <c r="A216" s="580" t="str">
        <f t="shared" si="6"/>
        <v>01-A-211</v>
      </c>
      <c r="B216" s="872"/>
    </row>
    <row r="217" spans="1:2" s="579" customFormat="1" x14ac:dyDescent="0.25">
      <c r="A217" s="577" t="str">
        <f t="shared" si="6"/>
        <v>01-A-212</v>
      </c>
      <c r="B217" s="873"/>
    </row>
    <row r="218" spans="1:2" s="582" customFormat="1" x14ac:dyDescent="0.25">
      <c r="A218" s="580" t="str">
        <f t="shared" si="6"/>
        <v>01-A-213</v>
      </c>
      <c r="B218" s="872"/>
    </row>
    <row r="219" spans="1:2" s="579" customFormat="1" x14ac:dyDescent="0.25">
      <c r="A219" s="577" t="str">
        <f t="shared" si="6"/>
        <v>01-A-214</v>
      </c>
      <c r="B219" s="873"/>
    </row>
    <row r="220" spans="1:2" s="582" customFormat="1" x14ac:dyDescent="0.25">
      <c r="A220" s="580" t="str">
        <f t="shared" si="6"/>
        <v>01-A-215</v>
      </c>
      <c r="B220" s="872"/>
    </row>
    <row r="221" spans="1:2" s="579" customFormat="1" x14ac:dyDescent="0.25">
      <c r="A221" s="577" t="str">
        <f t="shared" si="6"/>
        <v>01-A-216</v>
      </c>
      <c r="B221" s="873"/>
    </row>
    <row r="222" spans="1:2" s="582" customFormat="1" x14ac:dyDescent="0.25">
      <c r="A222" s="580" t="str">
        <f t="shared" si="6"/>
        <v>01-A-217</v>
      </c>
      <c r="B222" s="872"/>
    </row>
    <row r="223" spans="1:2" s="579" customFormat="1" x14ac:dyDescent="0.25">
      <c r="A223" s="577" t="str">
        <f t="shared" si="6"/>
        <v>01-A-218</v>
      </c>
      <c r="B223" s="873"/>
    </row>
    <row r="224" spans="1:2" s="582" customFormat="1" x14ac:dyDescent="0.25">
      <c r="A224" s="580" t="str">
        <f t="shared" si="6"/>
        <v>01-A-219</v>
      </c>
      <c r="B224" s="872"/>
    </row>
    <row r="225" spans="1:2" s="579" customFormat="1" x14ac:dyDescent="0.25">
      <c r="A225" s="577" t="str">
        <f t="shared" si="6"/>
        <v>01-A-220</v>
      </c>
      <c r="B225" s="873"/>
    </row>
    <row r="226" spans="1:2" s="582" customFormat="1" x14ac:dyDescent="0.25">
      <c r="A226" s="580" t="str">
        <f t="shared" si="6"/>
        <v>01-A-221</v>
      </c>
      <c r="B226" s="872"/>
    </row>
    <row r="227" spans="1:2" s="579" customFormat="1" x14ac:dyDescent="0.25">
      <c r="A227" s="577" t="str">
        <f t="shared" si="6"/>
        <v>01-A-222</v>
      </c>
      <c r="B227" s="873"/>
    </row>
    <row r="228" spans="1:2" s="582" customFormat="1" x14ac:dyDescent="0.25">
      <c r="A228" s="580" t="str">
        <f t="shared" si="6"/>
        <v>01-A-223</v>
      </c>
      <c r="B228" s="872"/>
    </row>
    <row r="229" spans="1:2" s="579" customFormat="1" x14ac:dyDescent="0.25">
      <c r="A229" s="577" t="str">
        <f t="shared" si="6"/>
        <v>01-A-224</v>
      </c>
      <c r="B229" s="873"/>
    </row>
    <row r="230" spans="1:2" s="582" customFormat="1" x14ac:dyDescent="0.25">
      <c r="A230" s="580" t="str">
        <f t="shared" si="6"/>
        <v>01-A-225</v>
      </c>
      <c r="B230" s="872"/>
    </row>
    <row r="231" spans="1:2" s="579" customFormat="1" x14ac:dyDescent="0.25">
      <c r="A231" s="577" t="str">
        <f t="shared" si="6"/>
        <v>01-A-226</v>
      </c>
      <c r="B231" s="873"/>
    </row>
    <row r="232" spans="1:2" s="582" customFormat="1" x14ac:dyDescent="0.25">
      <c r="A232" s="580" t="str">
        <f t="shared" si="6"/>
        <v>01-A-227</v>
      </c>
      <c r="B232" s="872"/>
    </row>
    <row r="233" spans="1:2" s="579" customFormat="1" x14ac:dyDescent="0.25">
      <c r="A233" s="577" t="str">
        <f t="shared" si="6"/>
        <v>01-A-228</v>
      </c>
      <c r="B233" s="873"/>
    </row>
    <row r="234" spans="1:2" s="582" customFormat="1" x14ac:dyDescent="0.25">
      <c r="A234" s="580" t="str">
        <f t="shared" si="6"/>
        <v>01-A-229</v>
      </c>
      <c r="B234" s="872"/>
    </row>
    <row r="235" spans="1:2" s="579" customFormat="1" x14ac:dyDescent="0.25">
      <c r="A235" s="577" t="str">
        <f t="shared" si="6"/>
        <v>01-A-230</v>
      </c>
      <c r="B235" s="873"/>
    </row>
    <row r="236" spans="1:2" s="582" customFormat="1" x14ac:dyDescent="0.25">
      <c r="A236" s="580" t="str">
        <f t="shared" si="6"/>
        <v>01-A-231</v>
      </c>
      <c r="B236" s="872"/>
    </row>
    <row r="237" spans="1:2" s="579" customFormat="1" x14ac:dyDescent="0.25">
      <c r="A237" s="577" t="str">
        <f t="shared" si="6"/>
        <v>01-A-232</v>
      </c>
      <c r="B237" s="873"/>
    </row>
    <row r="238" spans="1:2" s="582" customFormat="1" x14ac:dyDescent="0.25">
      <c r="A238" s="580" t="str">
        <f t="shared" si="6"/>
        <v>01-A-233</v>
      </c>
      <c r="B238" s="872"/>
    </row>
    <row r="239" spans="1:2" s="579" customFormat="1" x14ac:dyDescent="0.25">
      <c r="A239" s="577" t="str">
        <f t="shared" si="6"/>
        <v>01-A-234</v>
      </c>
      <c r="B239" s="873"/>
    </row>
    <row r="240" spans="1:2" s="582" customFormat="1" x14ac:dyDescent="0.25">
      <c r="A240" s="580" t="str">
        <f t="shared" si="6"/>
        <v>01-A-235</v>
      </c>
      <c r="B240" s="872"/>
    </row>
    <row r="241" spans="1:2" s="579" customFormat="1" x14ac:dyDescent="0.25">
      <c r="A241" s="577" t="str">
        <f t="shared" si="6"/>
        <v>01-A-236</v>
      </c>
      <c r="B241" s="873"/>
    </row>
    <row r="242" spans="1:2" s="582" customFormat="1" x14ac:dyDescent="0.25">
      <c r="A242" s="580" t="str">
        <f t="shared" si="6"/>
        <v>01-A-237</v>
      </c>
      <c r="B242" s="872"/>
    </row>
    <row r="243" spans="1:2" s="579" customFormat="1" x14ac:dyDescent="0.25">
      <c r="A243" s="577" t="str">
        <f t="shared" si="6"/>
        <v>01-A-238</v>
      </c>
      <c r="B243" s="873"/>
    </row>
    <row r="244" spans="1:2" s="582" customFormat="1" x14ac:dyDescent="0.25">
      <c r="A244" s="580" t="str">
        <f t="shared" si="6"/>
        <v>01-A-239</v>
      </c>
      <c r="B244" s="872"/>
    </row>
    <row r="245" spans="1:2" s="579" customFormat="1" x14ac:dyDescent="0.25">
      <c r="A245" s="577" t="str">
        <f t="shared" si="6"/>
        <v>01-A-240</v>
      </c>
      <c r="B245" s="873"/>
    </row>
    <row r="246" spans="1:2" s="582" customFormat="1" x14ac:dyDescent="0.25">
      <c r="A246" s="580" t="str">
        <f t="shared" si="6"/>
        <v>01-A-241</v>
      </c>
      <c r="B246" s="872"/>
    </row>
    <row r="247" spans="1:2" s="579" customFormat="1" x14ac:dyDescent="0.25">
      <c r="A247" s="577" t="str">
        <f t="shared" si="6"/>
        <v>01-A-242</v>
      </c>
      <c r="B247" s="873"/>
    </row>
    <row r="248" spans="1:2" s="582" customFormat="1" x14ac:dyDescent="0.25">
      <c r="A248" s="580" t="str">
        <f t="shared" si="6"/>
        <v>01-A-243</v>
      </c>
      <c r="B248" s="872"/>
    </row>
    <row r="249" spans="1:2" s="579" customFormat="1" x14ac:dyDescent="0.25">
      <c r="A249" s="577" t="str">
        <f t="shared" si="6"/>
        <v>01-A-244</v>
      </c>
      <c r="B249" s="873"/>
    </row>
    <row r="250" spans="1:2" s="582" customFormat="1" x14ac:dyDescent="0.25">
      <c r="A250" s="580" t="str">
        <f t="shared" si="6"/>
        <v>01-A-245</v>
      </c>
      <c r="B250" s="87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5">
    <tabColor rgb="FF0050A0"/>
  </sheetPr>
  <dimension ref="A1:BG189"/>
  <sheetViews>
    <sheetView showRowColHeaders="0" zoomScaleNormal="100" workbookViewId="0"/>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9" hidden="1" customWidth="1"/>
    <col min="43" max="43" width="6.7109375" style="49" hidden="1" customWidth="1"/>
    <col min="44" max="44" width="6.7109375" style="162" hidden="1" customWidth="1"/>
    <col min="45" max="45" width="6.7109375" style="49" hidden="1" customWidth="1"/>
    <col min="46" max="46" width="6.7109375" style="44" hidden="1" customWidth="1"/>
    <col min="47" max="47" width="6.7109375" style="49" hidden="1" customWidth="1"/>
    <col min="48" max="48" width="6.7109375" style="162" hidden="1" customWidth="1"/>
    <col min="49" max="49" width="6.7109375" style="49" hidden="1" customWidth="1"/>
    <col min="50" max="50" width="6.7109375" style="44" hidden="1" customWidth="1"/>
    <col min="51" max="51" width="6.7109375" style="49" hidden="1" customWidth="1"/>
    <col min="52" max="52" width="6.7109375" style="162" hidden="1" customWidth="1"/>
    <col min="53" max="53" width="6.7109375" style="49" hidden="1" customWidth="1"/>
    <col min="54" max="54" width="4.7109375" style="44" customWidth="1"/>
    <col min="55" max="16384" width="9.140625" style="44"/>
  </cols>
  <sheetData>
    <row r="1" spans="1:59" ht="15" customHeight="1" x14ac:dyDescent="0.25">
      <c r="A1" s="94" t="str">
        <f>Voorblad!A1</f>
        <v>A255255255</v>
      </c>
      <c r="B1" s="94" t="str">
        <f>Voorblad!B1</f>
        <v>B000080160</v>
      </c>
      <c r="C1" s="94" t="str">
        <f>Voorblad!C1</f>
        <v>C150200250</v>
      </c>
      <c r="D1" s="94" t="str">
        <f>Voorblad!D1</f>
        <v>D000080160</v>
      </c>
      <c r="E1" s="94" t="str">
        <f>Voorblad!E1</f>
        <v>E000080160</v>
      </c>
    </row>
    <row r="2" spans="1:59" ht="15" customHeight="1" x14ac:dyDescent="0.25">
      <c r="A2" s="163"/>
      <c r="B2" s="17"/>
      <c r="C2" s="17"/>
      <c r="D2" s="17"/>
      <c r="E2" s="17"/>
      <c r="F2" s="17"/>
      <c r="G2" s="17"/>
      <c r="H2" s="17"/>
      <c r="I2" s="17"/>
      <c r="J2" s="17"/>
      <c r="K2" s="17"/>
      <c r="L2" s="17"/>
      <c r="M2" s="17"/>
      <c r="N2" s="17"/>
      <c r="O2" s="17"/>
      <c r="P2" s="17"/>
      <c r="Q2" s="17"/>
      <c r="R2" s="17"/>
      <c r="S2" s="17"/>
      <c r="T2" s="17"/>
      <c r="U2" s="17"/>
      <c r="V2" s="17"/>
      <c r="W2" s="17"/>
      <c r="X2" s="17"/>
      <c r="Y2" s="17"/>
      <c r="Z2" s="17"/>
      <c r="AA2" s="17"/>
      <c r="AB2" s="1317" t="s">
        <v>202</v>
      </c>
      <c r="AC2" s="1317"/>
      <c r="AD2" s="1317"/>
      <c r="AE2" s="1317"/>
      <c r="AF2" s="1317"/>
      <c r="AG2" s="1317"/>
      <c r="AH2" s="1318" t="s">
        <v>173</v>
      </c>
      <c r="AI2" s="1318"/>
      <c r="AJ2" s="1318"/>
      <c r="AK2" s="1319" t="s">
        <v>201</v>
      </c>
      <c r="AL2" s="1319"/>
      <c r="AM2" s="1319"/>
      <c r="AN2" s="1319"/>
      <c r="AO2" s="1319"/>
      <c r="AP2" s="92"/>
      <c r="AQ2" s="1307" t="s">
        <v>66</v>
      </c>
      <c r="AR2" s="1308"/>
      <c r="AS2" s="1308"/>
      <c r="AT2" s="1308"/>
      <c r="AU2" s="1308"/>
      <c r="AV2" s="1308"/>
      <c r="AW2" s="1308"/>
      <c r="AX2" s="1308"/>
      <c r="AY2" s="1308"/>
      <c r="AZ2" s="1308"/>
      <c r="BA2" s="1309"/>
      <c r="BC2" s="1144" t="str">
        <f ca="1">Taal01!$B$41</f>
        <v>Finalewedstrijden</v>
      </c>
      <c r="BD2" s="1144"/>
      <c r="BE2" s="1144"/>
      <c r="BF2" s="1144"/>
      <c r="BG2" s="1144"/>
    </row>
    <row r="3" spans="1:59" ht="15" customHeight="1" x14ac:dyDescent="0.25">
      <c r="A3" s="163"/>
      <c r="B3" s="17"/>
      <c r="C3" s="1075"/>
      <c r="D3" s="1090" t="str">
        <f ca="1">Taal04!B7&amp;" - "&amp;Taal04!B10</f>
        <v>Excel Deelname Formulier - Finalewedstrijden</v>
      </c>
      <c r="E3" s="1077"/>
      <c r="F3" s="1077"/>
      <c r="G3" s="1077"/>
      <c r="H3" s="1077"/>
      <c r="I3" s="1077"/>
      <c r="J3" s="1077"/>
      <c r="K3" s="1077"/>
      <c r="L3" s="1077"/>
      <c r="M3" s="1077"/>
      <c r="N3" s="1077"/>
      <c r="O3" s="1077"/>
      <c r="P3" s="1077"/>
      <c r="Q3" s="1077"/>
      <c r="R3" s="1077"/>
      <c r="S3" s="1077"/>
      <c r="T3" s="1077"/>
      <c r="U3" s="1077"/>
      <c r="V3" s="1077"/>
      <c r="W3" s="1077"/>
      <c r="X3" s="1077"/>
      <c r="Y3" s="1091" t="str">
        <f ca="1">IF(Reglement!M3="","",Reglement!M3)</f>
        <v>EURO 2024: EK Polo-poule</v>
      </c>
      <c r="Z3" s="1079"/>
      <c r="AA3" s="17"/>
      <c r="AB3" s="1317"/>
      <c r="AC3" s="1317"/>
      <c r="AD3" s="1317"/>
      <c r="AE3" s="1317"/>
      <c r="AF3" s="1317"/>
      <c r="AG3" s="1317"/>
      <c r="AH3" s="1318"/>
      <c r="AI3" s="1318"/>
      <c r="AJ3" s="1318"/>
      <c r="AK3" s="1319"/>
      <c r="AL3" s="1319"/>
      <c r="AM3" s="1319"/>
      <c r="AN3" s="1319"/>
      <c r="AO3" s="1319"/>
      <c r="AP3" s="92"/>
      <c r="AQ3" s="1310"/>
      <c r="AR3" s="1311"/>
      <c r="AS3" s="1311"/>
      <c r="AT3" s="1311"/>
      <c r="AU3" s="1311"/>
      <c r="AV3" s="1311"/>
      <c r="AW3" s="1311"/>
      <c r="AX3" s="1311"/>
      <c r="AY3" s="1311"/>
      <c r="AZ3" s="1311"/>
      <c r="BA3" s="1312"/>
      <c r="BC3" s="1144"/>
      <c r="BD3" s="1144"/>
      <c r="BE3" s="1144"/>
      <c r="BF3" s="1144"/>
      <c r="BG3" s="1144"/>
    </row>
    <row r="4" spans="1:59" ht="15" customHeight="1" x14ac:dyDescent="0.25">
      <c r="A4" s="163"/>
      <c r="B4" s="17"/>
      <c r="C4" s="17"/>
      <c r="D4" s="47"/>
      <c r="E4" s="17"/>
      <c r="F4" s="17"/>
      <c r="G4" s="17"/>
      <c r="H4" s="17"/>
      <c r="I4" s="17"/>
      <c r="J4" s="17"/>
      <c r="K4" s="17"/>
      <c r="L4" s="17"/>
      <c r="M4" s="17"/>
      <c r="N4" s="17"/>
      <c r="O4" s="17"/>
      <c r="P4" s="17"/>
      <c r="Q4" s="17"/>
      <c r="R4" s="17"/>
      <c r="S4" s="17"/>
      <c r="T4" s="17"/>
      <c r="U4" s="17"/>
      <c r="V4" s="17"/>
      <c r="W4" s="17"/>
      <c r="X4" s="17"/>
      <c r="Y4" s="58"/>
      <c r="Z4" s="17"/>
      <c r="AA4" s="17"/>
      <c r="AB4" s="1317"/>
      <c r="AC4" s="1317"/>
      <c r="AD4" s="1317"/>
      <c r="AE4" s="1317"/>
      <c r="AF4" s="1317"/>
      <c r="AG4" s="1317"/>
      <c r="AH4" s="1318"/>
      <c r="AI4" s="1318"/>
      <c r="AJ4" s="1318"/>
      <c r="AK4" s="1319"/>
      <c r="AL4" s="1319"/>
      <c r="AM4" s="1319"/>
      <c r="AN4" s="1319"/>
      <c r="AO4" s="1319"/>
      <c r="AP4" s="92"/>
      <c r="AQ4" s="1320" t="s">
        <v>333</v>
      </c>
      <c r="AR4" s="1321"/>
      <c r="AS4" s="1321"/>
      <c r="AT4" s="1321"/>
      <c r="AU4" s="1321"/>
      <c r="AV4" s="1321"/>
      <c r="AW4" s="1321"/>
      <c r="AX4" s="1321"/>
      <c r="AY4" s="1321"/>
      <c r="AZ4" s="1321"/>
      <c r="BA4" s="1322"/>
      <c r="BC4" s="1144"/>
      <c r="BD4" s="1144"/>
      <c r="BE4" s="1144"/>
      <c r="BF4" s="1144"/>
      <c r="BG4" s="1144"/>
    </row>
    <row r="5" spans="1:59" ht="15" customHeight="1" x14ac:dyDescent="0.25">
      <c r="A5" s="163"/>
      <c r="B5" s="17"/>
      <c r="C5" s="1075"/>
      <c r="D5" s="1090" t="str">
        <f ca="1">Taal04!B64</f>
        <v>De Finalewedstrijden</v>
      </c>
      <c r="E5" s="1077"/>
      <c r="F5" s="1077"/>
      <c r="G5" s="1077"/>
      <c r="H5" s="1077"/>
      <c r="I5" s="1077"/>
      <c r="J5" s="1077"/>
      <c r="K5" s="1077"/>
      <c r="L5" s="1077"/>
      <c r="M5" s="1077"/>
      <c r="N5" s="1077"/>
      <c r="O5" s="1077"/>
      <c r="P5" s="1077"/>
      <c r="Q5" s="1077"/>
      <c r="R5" s="1077"/>
      <c r="S5" s="1077"/>
      <c r="T5" s="1077"/>
      <c r="U5" s="1077"/>
      <c r="V5" s="1077"/>
      <c r="W5" s="1077"/>
      <c r="X5" s="1077"/>
      <c r="Y5" s="1077"/>
      <c r="Z5" s="1079"/>
      <c r="AA5" s="17"/>
      <c r="AB5" s="91"/>
      <c r="AC5" s="91"/>
      <c r="AD5" s="91"/>
      <c r="AE5" s="91"/>
      <c r="AF5" s="91"/>
      <c r="AG5" s="91"/>
      <c r="AH5" s="1323" t="s">
        <v>410</v>
      </c>
      <c r="AI5" s="1323"/>
      <c r="AJ5" s="1323"/>
      <c r="AK5" s="1313"/>
      <c r="AL5" s="1313"/>
      <c r="AM5" s="1313"/>
      <c r="AN5" s="1313"/>
      <c r="AO5" s="1313"/>
      <c r="AP5" s="1314" t="s">
        <v>194</v>
      </c>
      <c r="AQ5" s="717"/>
      <c r="AR5" s="710"/>
      <c r="AS5" s="710"/>
      <c r="AT5" s="710"/>
      <c r="AU5" s="710"/>
      <c r="AV5" s="710"/>
      <c r="AW5" s="710"/>
      <c r="AX5" s="710"/>
      <c r="AY5" s="710"/>
      <c r="AZ5" s="710"/>
      <c r="BA5" s="718"/>
    </row>
    <row r="6" spans="1:59" ht="15" customHeight="1" x14ac:dyDescent="0.25">
      <c r="A6" s="163"/>
      <c r="B6" s="17"/>
      <c r="C6" s="1047"/>
      <c r="D6" s="371"/>
      <c r="E6" s="16"/>
      <c r="F6" s="16"/>
      <c r="G6" s="16"/>
      <c r="H6" s="16"/>
      <c r="I6" s="16"/>
      <c r="J6" s="16"/>
      <c r="K6" s="16"/>
      <c r="L6" s="16"/>
      <c r="M6" s="16"/>
      <c r="N6" s="16"/>
      <c r="O6" s="16"/>
      <c r="P6" s="16"/>
      <c r="Q6" s="16"/>
      <c r="R6" s="16"/>
      <c r="S6" s="16"/>
      <c r="T6" s="16"/>
      <c r="U6" s="16"/>
      <c r="V6" s="16"/>
      <c r="W6" s="16"/>
      <c r="X6" s="16"/>
      <c r="Y6" s="16"/>
      <c r="Z6" s="1048"/>
      <c r="AA6" s="17"/>
      <c r="AB6" s="140">
        <v>1</v>
      </c>
      <c r="AC6" s="91" t="str">
        <f ca="1">Taal04!B34</f>
        <v>suggesties altijd weergeven</v>
      </c>
      <c r="AD6" s="91"/>
      <c r="AE6" s="91"/>
      <c r="AF6" s="91"/>
      <c r="AG6" s="91"/>
      <c r="AH6" s="372"/>
      <c r="AI6" s="373">
        <f>Reglement!Q81</f>
        <v>1</v>
      </c>
      <c r="AJ6" s="372"/>
      <c r="AK6" s="1313"/>
      <c r="AL6" s="1313"/>
      <c r="AM6" s="1313"/>
      <c r="AN6" s="1313"/>
      <c r="AO6" s="1313"/>
      <c r="AP6" s="1314"/>
      <c r="AQ6" s="717"/>
      <c r="AR6" s="710"/>
      <c r="AS6" s="710"/>
      <c r="AT6" s="710"/>
      <c r="AU6" s="710"/>
      <c r="AV6" s="710"/>
      <c r="AW6" s="710"/>
      <c r="AX6" s="710"/>
      <c r="AY6" s="710"/>
      <c r="AZ6" s="710"/>
      <c r="BA6" s="718"/>
    </row>
    <row r="7" spans="1:59" ht="15" customHeight="1" x14ac:dyDescent="0.25">
      <c r="A7" s="163"/>
      <c r="B7" s="17"/>
      <c r="C7" s="1049"/>
      <c r="D7" s="770" t="str">
        <f ca="1">IF($AI$6=1,IF(AJ62=1,Taal04!B68,Taal04!B66),Voorblad!C15)</f>
        <v>Voorspel de landen en welk team de wedstrijd wint of een gelijkspel en vul dit in op dit blad.</v>
      </c>
      <c r="E7" s="17"/>
      <c r="F7" s="17"/>
      <c r="G7" s="17"/>
      <c r="H7" s="17"/>
      <c r="I7" s="17"/>
      <c r="J7" s="17"/>
      <c r="K7" s="17"/>
      <c r="L7" s="17"/>
      <c r="M7" s="17"/>
      <c r="N7" s="17"/>
      <c r="O7" s="17"/>
      <c r="P7" s="17"/>
      <c r="Q7" s="17"/>
      <c r="R7" s="17"/>
      <c r="S7" s="17"/>
      <c r="T7" s="17"/>
      <c r="U7" s="17"/>
      <c r="V7" s="17"/>
      <c r="W7" s="17"/>
      <c r="X7" s="17"/>
      <c r="Y7" s="17"/>
      <c r="Z7" s="61"/>
      <c r="AA7" s="17"/>
      <c r="AB7" s="140">
        <v>2</v>
      </c>
      <c r="AC7" s="91" t="str">
        <f ca="1">Taal04!B35</f>
        <v>suggesties verbergen na keuze</v>
      </c>
      <c r="AD7" s="91"/>
      <c r="AE7" s="91"/>
      <c r="AF7" s="91"/>
      <c r="AG7" s="91"/>
      <c r="AH7" s="372"/>
      <c r="AI7" s="372"/>
      <c r="AJ7" s="372"/>
      <c r="AK7" s="1"/>
      <c r="AL7" s="1"/>
      <c r="AM7" s="1"/>
      <c r="AN7" s="1"/>
      <c r="AO7" s="1"/>
      <c r="AP7" s="92"/>
      <c r="AQ7" s="717"/>
      <c r="AR7" s="710"/>
      <c r="AS7" s="710"/>
      <c r="AT7" s="710"/>
      <c r="AU7" s="710"/>
      <c r="AV7" s="710"/>
      <c r="AW7" s="710"/>
      <c r="AX7" s="710"/>
      <c r="AY7" s="710"/>
      <c r="AZ7" s="710"/>
      <c r="BA7" s="718"/>
    </row>
    <row r="8" spans="1:59" ht="15" customHeight="1" x14ac:dyDescent="0.4">
      <c r="A8" s="163"/>
      <c r="B8" s="17"/>
      <c r="C8" s="1049"/>
      <c r="D8" s="17"/>
      <c r="E8" s="17"/>
      <c r="F8" s="17"/>
      <c r="G8" s="17"/>
      <c r="H8" s="17"/>
      <c r="I8" s="17"/>
      <c r="J8" s="17"/>
      <c r="K8" s="17"/>
      <c r="L8" s="17"/>
      <c r="M8" s="17"/>
      <c r="N8" s="17"/>
      <c r="O8" s="17"/>
      <c r="P8" s="17"/>
      <c r="Q8" s="17"/>
      <c r="R8" s="17"/>
      <c r="S8" s="17"/>
      <c r="T8" s="17"/>
      <c r="U8" s="17"/>
      <c r="V8" s="17"/>
      <c r="W8" s="17"/>
      <c r="X8" s="17"/>
      <c r="Y8" s="17"/>
      <c r="Z8" s="61"/>
      <c r="AA8" s="17"/>
      <c r="AB8" s="140">
        <v>3</v>
      </c>
      <c r="AC8" s="91" t="str">
        <f ca="1">Taal04!B36</f>
        <v>suggesties niet weergeven</v>
      </c>
      <c r="AD8" s="91"/>
      <c r="AE8" s="91"/>
      <c r="AF8" s="91"/>
      <c r="AG8" s="91"/>
      <c r="AH8" s="1324" t="s">
        <v>199</v>
      </c>
      <c r="AI8" s="1324"/>
      <c r="AJ8" s="1324"/>
      <c r="AK8" s="701"/>
      <c r="AL8" s="701"/>
      <c r="AM8" s="701"/>
      <c r="AN8" s="701"/>
      <c r="AO8" s="701"/>
      <c r="AP8" s="92"/>
      <c r="AQ8" s="717"/>
      <c r="AR8" s="710"/>
      <c r="AS8" s="710"/>
      <c r="AT8" s="710"/>
      <c r="AU8" s="710"/>
      <c r="AV8" s="710"/>
      <c r="AW8" s="710"/>
      <c r="AX8" s="710"/>
      <c r="AY8" s="710"/>
      <c r="AZ8" s="710"/>
      <c r="BA8" s="718"/>
    </row>
    <row r="9" spans="1:59" ht="15" customHeight="1" x14ac:dyDescent="0.4">
      <c r="A9" s="163"/>
      <c r="B9" s="17"/>
      <c r="C9" s="1049"/>
      <c r="D9" s="1304" t="s">
        <v>180</v>
      </c>
      <c r="E9" s="1305"/>
      <c r="F9" s="1305"/>
      <c r="G9" s="1305"/>
      <c r="H9" s="1305"/>
      <c r="I9" s="1305"/>
      <c r="J9" s="1305"/>
      <c r="K9" s="769" t="s">
        <v>908</v>
      </c>
      <c r="L9" s="1303"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303"/>
      <c r="N9" s="1303"/>
      <c r="O9" s="1303"/>
      <c r="P9" s="1303"/>
      <c r="Q9" s="1303"/>
      <c r="R9" s="1303"/>
      <c r="S9" s="1303"/>
      <c r="T9" s="1303"/>
      <c r="U9" s="1303"/>
      <c r="V9" s="1303"/>
      <c r="W9" s="1303"/>
      <c r="X9" s="1303"/>
      <c r="Y9" s="1303"/>
      <c r="Z9" s="1057"/>
      <c r="AA9" s="17"/>
      <c r="AB9" s="110">
        <f ca="1">IF(COUNTIF(Taal04!34:34,D9)&gt;0,1,IF(COUNTIF(Taal04!35:35,D9)&gt;0,2,3))</f>
        <v>1</v>
      </c>
      <c r="AC9" s="766" t="s">
        <v>178</v>
      </c>
      <c r="AD9" s="91"/>
      <c r="AE9" s="91"/>
      <c r="AF9" s="91"/>
      <c r="AG9" s="91"/>
      <c r="AH9" s="1324"/>
      <c r="AI9" s="1324"/>
      <c r="AJ9" s="1324"/>
      <c r="AK9" s="701"/>
      <c r="AL9" s="701"/>
      <c r="AM9" s="701"/>
      <c r="AN9" s="701"/>
      <c r="AO9" s="701"/>
      <c r="AP9" s="92"/>
      <c r="AQ9" s="717"/>
      <c r="AR9" s="710"/>
      <c r="AS9" s="710"/>
      <c r="AT9" s="710"/>
      <c r="AU9" s="710"/>
      <c r="AV9" s="710"/>
      <c r="AW9" s="710"/>
      <c r="AX9" s="710"/>
      <c r="AY9" s="710"/>
      <c r="AZ9" s="710"/>
      <c r="BA9" s="718"/>
    </row>
    <row r="10" spans="1:59" ht="15" customHeight="1" x14ac:dyDescent="0.4">
      <c r="A10" s="163"/>
      <c r="B10" s="17"/>
      <c r="C10" s="1049"/>
      <c r="D10" s="365"/>
      <c r="E10" s="365"/>
      <c r="F10" s="365"/>
      <c r="G10" s="365"/>
      <c r="H10" s="652"/>
      <c r="I10" s="622"/>
      <c r="J10" s="622"/>
      <c r="K10" s="622"/>
      <c r="L10" s="1303"/>
      <c r="M10" s="1303"/>
      <c r="N10" s="1303"/>
      <c r="O10" s="1303"/>
      <c r="P10" s="1303"/>
      <c r="Q10" s="1303"/>
      <c r="R10" s="1303"/>
      <c r="S10" s="1303"/>
      <c r="T10" s="1303"/>
      <c r="U10" s="1303"/>
      <c r="V10" s="1303"/>
      <c r="W10" s="1303"/>
      <c r="X10" s="1303"/>
      <c r="Y10" s="1303"/>
      <c r="Z10" s="1057"/>
      <c r="AA10" s="17"/>
      <c r="AB10" s="164"/>
      <c r="AC10" s="165"/>
      <c r="AD10" s="91"/>
      <c r="AE10" s="91"/>
      <c r="AF10" s="91"/>
      <c r="AG10" s="91"/>
      <c r="AH10" s="1324"/>
      <c r="AI10" s="1324"/>
      <c r="AJ10" s="1324"/>
      <c r="AK10" s="141"/>
      <c r="AL10" s="141"/>
      <c r="AM10" s="141"/>
      <c r="AN10" s="141"/>
      <c r="AO10" s="141"/>
      <c r="AP10" s="92"/>
      <c r="AQ10" s="916"/>
      <c r="AR10" s="917"/>
      <c r="AS10" s="706"/>
      <c r="AT10" s="299" t="s">
        <v>2389</v>
      </c>
      <c r="AU10" s="706"/>
      <c r="AV10" s="299" t="s">
        <v>2391</v>
      </c>
      <c r="AW10" s="706"/>
      <c r="AX10" s="299" t="s">
        <v>2393</v>
      </c>
      <c r="AY10" s="706"/>
      <c r="AZ10" s="299" t="s">
        <v>72</v>
      </c>
      <c r="BA10" s="707"/>
    </row>
    <row r="11" spans="1:59" ht="30" customHeight="1" x14ac:dyDescent="0.25">
      <c r="A11" s="163"/>
      <c r="B11" s="17"/>
      <c r="C11" s="1049"/>
      <c r="D11" s="1306" t="str">
        <f ca="1">Taal04!$B$27</f>
        <v>Achtste Finale</v>
      </c>
      <c r="E11" s="1306"/>
      <c r="F11" s="1306"/>
      <c r="G11" s="1306"/>
      <c r="H11" s="1306"/>
      <c r="I11" s="1306"/>
      <c r="J11" s="1306"/>
      <c r="K11" s="1306"/>
      <c r="L11" s="1303"/>
      <c r="M11" s="1303"/>
      <c r="N11" s="1303"/>
      <c r="O11" s="1303"/>
      <c r="P11" s="1303"/>
      <c r="Q11" s="1303"/>
      <c r="R11" s="1303"/>
      <c r="S11" s="1303"/>
      <c r="T11" s="1303"/>
      <c r="U11" s="1303"/>
      <c r="V11" s="1303"/>
      <c r="W11" s="1303"/>
      <c r="X11" s="1303"/>
      <c r="Y11" s="1303"/>
      <c r="Z11" s="1057"/>
      <c r="AA11" s="17"/>
      <c r="AB11" s="164"/>
      <c r="AC11" s="165"/>
      <c r="AD11" s="91"/>
      <c r="AE11" s="91"/>
      <c r="AF11" s="91"/>
      <c r="AG11" s="91"/>
      <c r="AH11" s="771"/>
      <c r="AI11" s="772">
        <f>IF(Reglement!G130="A",1,0)</f>
        <v>0</v>
      </c>
      <c r="AJ11" s="771"/>
      <c r="AK11" s="1313" t="s">
        <v>978</v>
      </c>
      <c r="AL11" s="1313"/>
      <c r="AM11" s="1313"/>
      <c r="AN11" s="1313"/>
      <c r="AO11" s="1313"/>
      <c r="AP11" s="92"/>
      <c r="AQ11" s="920" t="str">
        <f>REPT("─",16)</f>
        <v>────────────────</v>
      </c>
      <c r="AR11" s="921" t="s">
        <v>1964</v>
      </c>
      <c r="AS11" s="301" t="str">
        <f ca="1">IF(AT11=$AR$11,$AQ$11,IF(AT11=$AR$12,$AQ$12,VLOOKUP(AT11,Voorblad!$X$67:$Z$98,2,FALSE)))</f>
        <v>België</v>
      </c>
      <c r="AT11" s="302" t="str">
        <f ca="1">RIGHT(LEFT($AL$88,$BA11),2)</f>
        <v>E1</v>
      </c>
      <c r="AU11" s="301" t="str">
        <f ca="1">IF(AV11=$AR$11,$AQ$11,IF(AV11=$AR$12,$AQ$12,VLOOKUP(AV11,Voorblad!$X$67:$Z$98,2,FALSE)))</f>
        <v>België</v>
      </c>
      <c r="AV11" s="302" t="str">
        <f ca="1">RIGHT(LEFT($AL$89,$BA11),2)</f>
        <v>E1</v>
      </c>
      <c r="AW11" s="301" t="str">
        <f ca="1">IF(AX11=$AR$11,$AQ$11,IF(AX11=$AR$12,$AQ$12,VLOOKUP(AX11,Voorblad!$X$67:$Z$98,2,FALSE)))</f>
        <v>Albanië</v>
      </c>
      <c r="AX11" s="302" t="str">
        <f ca="1">RIGHT(LEFT($AL$91,$BA11),2)</f>
        <v>B4</v>
      </c>
      <c r="AY11" s="301" t="str">
        <f ca="1">IF(AZ11=$AR$11,$AQ$11,IF(AZ11=$AR$12,$AQ$12,VLOOKUP(AZ11,Voorblad!$X$67:$Z$98,2,FALSE)))</f>
        <v>Albanië</v>
      </c>
      <c r="AZ11" s="302" t="str">
        <f ca="1">RIGHT(LEFT($AL$92,$BA11),2)</f>
        <v>B4</v>
      </c>
      <c r="BA11" s="708">
        <v>2</v>
      </c>
    </row>
    <row r="12" spans="1:59" ht="15" customHeight="1" x14ac:dyDescent="0.25">
      <c r="A12" s="163"/>
      <c r="B12" s="17"/>
      <c r="C12" s="1049"/>
      <c r="D12" s="1306"/>
      <c r="E12" s="1306"/>
      <c r="F12" s="1306"/>
      <c r="G12" s="1306"/>
      <c r="H12" s="1306"/>
      <c r="I12" s="1306"/>
      <c r="J12" s="1306"/>
      <c r="K12" s="1306"/>
      <c r="L12" s="754"/>
      <c r="M12" s="754"/>
      <c r="N12" s="754"/>
      <c r="O12" s="754"/>
      <c r="P12" s="754"/>
      <c r="Q12" s="754"/>
      <c r="R12" s="754"/>
      <c r="S12" s="754"/>
      <c r="T12" s="754"/>
      <c r="U12" s="754"/>
      <c r="V12" s="754"/>
      <c r="W12" s="754"/>
      <c r="X12" s="754"/>
      <c r="Y12" s="160" t="str">
        <f ca="1">Taal04!$B$25</f>
        <v>Alle tijden zijn Midden-Europese Tijd (UCT+1)</v>
      </c>
      <c r="Z12" s="61"/>
      <c r="AA12" s="17"/>
      <c r="AB12" s="164"/>
      <c r="AC12" s="165"/>
      <c r="AD12" s="91"/>
      <c r="AE12" s="91"/>
      <c r="AF12" s="91"/>
      <c r="AG12" s="91"/>
      <c r="AH12" s="775"/>
      <c r="AI12" s="776" t="s">
        <v>200</v>
      </c>
      <c r="AJ12" s="775"/>
      <c r="AK12" s="1313"/>
      <c r="AL12" s="1313"/>
      <c r="AM12" s="1313"/>
      <c r="AN12" s="1313"/>
      <c r="AO12" s="1313"/>
      <c r="AP12" s="92"/>
      <c r="AQ12" s="918" t="str">
        <f>""</f>
        <v/>
      </c>
      <c r="AR12" s="919" t="s">
        <v>1965</v>
      </c>
      <c r="AS12" s="301" t="str">
        <f ca="1">IF(AT12=$AR$11,$AQ$11,IF(AT12=$AR$12,$AQ$12,VLOOKUP(AT12,Voorblad!$X$67:$Z$98,2,FALSE)))</f>
        <v>Frankrijk</v>
      </c>
      <c r="AT12" s="302" t="str">
        <f t="shared" ref="AT12:AT27" ca="1" si="0">RIGHT(LEFT($AL$88,$BA12),2)</f>
        <v>D4</v>
      </c>
      <c r="AU12" s="301" t="str">
        <f ca="1">IF(AV12=$AR$11,$AQ$11,IF(AV12=$AR$12,$AQ$12,VLOOKUP(AV12,Voorblad!$X$67:$Z$98,2,FALSE)))</f>
        <v>Duitsland</v>
      </c>
      <c r="AV12" s="302" t="str">
        <f t="shared" ref="AV12:AV27" ca="1" si="1">RIGHT(LEFT($AL$89,$BA12),2)</f>
        <v>A1</v>
      </c>
      <c r="AW12" s="301" t="str">
        <f ca="1">IF(AX12=$AR$11,$AQ$11,IF(AX12=$AR$12,$AQ$12,VLOOKUP(AX12,Voorblad!$X$67:$Z$98,2,FALSE)))</f>
        <v>Denemarken</v>
      </c>
      <c r="AX12" s="302" t="str">
        <f t="shared" ref="AX12:AX27" ca="1" si="2">RIGHT(LEFT($AL$91,$BA12),2)</f>
        <v>C2</v>
      </c>
      <c r="AY12" s="301" t="str">
        <f ca="1">IF(AZ12=$AR$11,$AQ$11,IF(AZ12=$AR$12,$AQ$12,VLOOKUP(AZ12,Voorblad!$X$67:$Z$98,2,FALSE)))</f>
        <v>Denemarken</v>
      </c>
      <c r="AZ12" s="302" t="str">
        <f t="shared" ref="AZ12:AZ23" ca="1" si="3">RIGHT(LEFT($AL$92,$BA12),2)</f>
        <v>C2</v>
      </c>
      <c r="BA12" s="709">
        <f t="shared" ref="BA12:BA27" si="4">BA11+2</f>
        <v>4</v>
      </c>
    </row>
    <row r="13" spans="1:59" ht="15" customHeight="1" x14ac:dyDescent="0.25">
      <c r="A13" s="163"/>
      <c r="B13" s="17"/>
      <c r="C13" s="1049"/>
      <c r="D13" s="17"/>
      <c r="E13" s="1038" t="str">
        <f ca="1">Taal04!$B$20</f>
        <v>Datum</v>
      </c>
      <c r="F13" s="1038" t="str">
        <f ca="1">Taal04!$B$21</f>
        <v>Tijd</v>
      </c>
      <c r="G13" s="1315" t="str">
        <f ca="1">Taal04!$B$22</f>
        <v>Wedstrijd</v>
      </c>
      <c r="H13" s="1315"/>
      <c r="I13" s="1315"/>
      <c r="J13" s="1315"/>
      <c r="K13" s="1315"/>
      <c r="L13" s="1315"/>
      <c r="M13" s="1315"/>
      <c r="N13" s="1315"/>
      <c r="O13" s="1315"/>
      <c r="P13" s="1315"/>
      <c r="Q13" s="1315"/>
      <c r="R13" s="1315"/>
      <c r="S13" s="1315"/>
      <c r="T13" s="1315"/>
      <c r="U13" s="1315"/>
      <c r="V13" s="17"/>
      <c r="W13" s="1234" t="str">
        <f ca="1">Taal04!$B$23</f>
        <v>TOTO</v>
      </c>
      <c r="X13" s="1235"/>
      <c r="Y13" s="1235"/>
      <c r="Z13" s="61"/>
      <c r="AA13" s="17"/>
      <c r="AB13" s="5"/>
      <c r="AC13" s="219" t="s">
        <v>0</v>
      </c>
      <c r="AD13" s="219" t="s">
        <v>19</v>
      </c>
      <c r="AE13" s="219" t="s">
        <v>0</v>
      </c>
      <c r="AF13" s="219" t="s">
        <v>19</v>
      </c>
      <c r="AG13" s="5"/>
      <c r="AH13" s="10" t="s">
        <v>73</v>
      </c>
      <c r="AI13" s="5"/>
      <c r="AJ13" s="10" t="s">
        <v>73</v>
      </c>
      <c r="AK13" s="4" t="s">
        <v>24</v>
      </c>
      <c r="AL13" s="4" t="s">
        <v>25</v>
      </c>
      <c r="AM13" s="4"/>
      <c r="AN13" s="4" t="s">
        <v>234</v>
      </c>
      <c r="AO13" s="139" t="s">
        <v>0</v>
      </c>
      <c r="AP13" s="92"/>
      <c r="AQ13" s="297"/>
      <c r="AR13" s="299" t="s">
        <v>2</v>
      </c>
      <c r="AS13" s="301" t="str">
        <f ca="1">IF(AT13=$AR$11,$AQ$11,IF(AT13=$AR$12,$AQ$12,VLOOKUP(AT13,Voorblad!$X$67:$Z$98,2,FALSE)))</f>
        <v>Georgië</v>
      </c>
      <c r="AT13" s="302" t="str">
        <f t="shared" ca="1" si="0"/>
        <v>F2</v>
      </c>
      <c r="AU13" s="301" t="str">
        <f ca="1">IF(AV13=$AR$11,$AQ$11,IF(AV13=$AR$12,$AQ$12,VLOOKUP(AV13,Voorblad!$X$67:$Z$98,2,FALSE)))</f>
        <v>Frankrijk</v>
      </c>
      <c r="AV13" s="302" t="str">
        <f t="shared" ca="1" si="1"/>
        <v>D4</v>
      </c>
      <c r="AW13" s="301" t="str">
        <f ca="1">IF(AX13=$AR$11,$AQ$11,IF(AX13=$AR$12,$AQ$12,VLOOKUP(AX13,Voorblad!$X$67:$Z$98,2,FALSE)))</f>
        <v>Duitsland</v>
      </c>
      <c r="AX13" s="302" t="str">
        <f t="shared" ca="1" si="2"/>
        <v>A1</v>
      </c>
      <c r="AY13" s="301" t="str">
        <f ca="1">IF(AZ13=$AR$11,$AQ$11,IF(AZ13=$AR$12,$AQ$12,VLOOKUP(AZ13,Voorblad!$X$67:$Z$98,2,FALSE)))</f>
        <v>Duitsland</v>
      </c>
      <c r="AZ13" s="302" t="str">
        <f t="shared" ca="1" si="3"/>
        <v>A1</v>
      </c>
      <c r="BA13" s="709">
        <f t="shared" si="4"/>
        <v>6</v>
      </c>
    </row>
    <row r="14" spans="1:59" ht="15" customHeight="1" x14ac:dyDescent="0.25">
      <c r="A14" s="163"/>
      <c r="B14" s="17"/>
      <c r="C14" s="1049"/>
      <c r="D14" s="6">
        <v>38</v>
      </c>
      <c r="E14" s="11">
        <f>DATE(2024,6,29)+TIME(18,0,0)</f>
        <v>45472.75</v>
      </c>
      <c r="F14" s="135">
        <f>E14+TIME(0,0,0)</f>
        <v>45472.75</v>
      </c>
      <c r="G14" s="1331" t="str">
        <f ca="1">" "&amp;Taal04!$B$75&amp;" A"</f>
        <v xml:space="preserve"> Nr.2 Groep A</v>
      </c>
      <c r="H14" s="1331"/>
      <c r="I14" s="1331"/>
      <c r="J14" s="1331"/>
      <c r="K14" s="1331"/>
      <c r="L14" s="705"/>
      <c r="M14" s="12"/>
      <c r="N14" s="703" t="str">
        <f>IF(AK14="LEEG","▼   ","")&amp;"-  "</f>
        <v xml:space="preserve">▼   -  </v>
      </c>
      <c r="O14" s="1331" t="str">
        <f ca="1">" "&amp;Taal04!$B$75&amp;" B"</f>
        <v xml:space="preserve"> Nr.2 Groep B</v>
      </c>
      <c r="P14" s="1331"/>
      <c r="Q14" s="1331"/>
      <c r="R14" s="1331"/>
      <c r="S14" s="1331"/>
      <c r="T14" s="1331"/>
      <c r="U14" s="704"/>
      <c r="V14" s="703" t="str">
        <f>IF(AL14="LEEG","▼   ","")&amp;": "</f>
        <v xml:space="preserve">▼   : </v>
      </c>
      <c r="W14" s="1316"/>
      <c r="X14" s="1316"/>
      <c r="Y14" s="1316"/>
      <c r="Z14" s="61"/>
      <c r="AA14" s="17"/>
      <c r="AB14" s="5"/>
      <c r="AC14" s="271" t="str">
        <f>IF(OR(L14="",ISBLANK(L14)),"OO",IF(TYPE(VLOOKUP(L14,Taal02!$C$100:$D$419,2,FALSE))=16,"XX",VLOOKUP(L14,Taal02!$C$100:$D$419,2,FALSE)))</f>
        <v>OO</v>
      </c>
      <c r="AD14" s="219" t="str">
        <f>IF(AC14="OO","LEEG",IF(AC14="XX","FOUT",VLOOKUP(AC14,Voorblad!$X$65:$Z$98,3,FALSE)))</f>
        <v>LEEG</v>
      </c>
      <c r="AE14" s="271" t="str">
        <f>IF(OR(U14="",ISBLANK(U14)),"OO",IF(TYPE(VLOOKUP(U14,Taal02!$C$100:$D$419,2,FALSE))=16,"XX",VLOOKUP(U14,Taal02!$C$100:$D$419,2,FALSE)))</f>
        <v>OO</v>
      </c>
      <c r="AF14" s="219" t="str">
        <f>IF(AE14="OO","LEEG",IF(AE14="XX","FOUT",VLOOKUP(AE14,Voorblad!$X$65:$Z$98,3,FALSE)))</f>
        <v>LEEG</v>
      </c>
      <c r="AG14" s="5"/>
      <c r="AH14" s="10" t="s">
        <v>111</v>
      </c>
      <c r="AI14" s="10" t="s">
        <v>12</v>
      </c>
      <c r="AJ14" s="10" t="s">
        <v>115</v>
      </c>
      <c r="AK14" s="4" t="str">
        <f>IF(AD14="LEEG","LEEG",IF(TYPE(AD14)=2,IF(LEN(AD14)=2,IF(AND($AI$11=0,AH15="DUBBEL"),"ONGELDIG","GOED"),"ONGELDIG"),"ONGELDIG"))</f>
        <v>LEEG</v>
      </c>
      <c r="AL14" s="4" t="str">
        <f>IF(AF14="LEEG","LEEG",IF(TYPE(AF14)=2,IF(LEN(AF14)=2,IF(AND($AI$11=0,AJ15="DUBBEL"),"ONGELDIG","GOED"),"ONGELDIG"),"ONGELDIG"))</f>
        <v>LEEG</v>
      </c>
      <c r="AM14" s="4"/>
      <c r="AN14" s="4" t="str">
        <f>IF(ISBLANK(W14),"LEEG",IF(OR(W14=1,W14=2,W14=3),"GOED","ONGELDIG"))</f>
        <v>LEEG</v>
      </c>
      <c r="AO14" s="139" t="str">
        <f>IF(AK14="GOED",IF(AL14="GOED",IF(AN14="GOED",AD14&amp;AF14&amp;W14&amp;"|","FOUT"),"FOUT"),"FOUT")</f>
        <v>FOUT</v>
      </c>
      <c r="AP14" s="92">
        <f>LEN(AO14)</f>
        <v>4</v>
      </c>
      <c r="AQ14" s="301" t="str">
        <f ca="1">VLOOKUP(AR14,Voorblad!$X$67:$Z$98,2,FALSE)</f>
        <v>Duitsland</v>
      </c>
      <c r="AR14" s="302" t="s">
        <v>110</v>
      </c>
      <c r="AS14" s="301" t="str">
        <f ca="1">IF(AT14=$AR$11,$AQ$11,IF(AT14=$AR$12,$AQ$12,VLOOKUP(AT14,Voorblad!$X$67:$Z$98,2,FALSE)))</f>
        <v>Nederland</v>
      </c>
      <c r="AT14" s="302" t="str">
        <f t="shared" ca="1" si="0"/>
        <v>D2</v>
      </c>
      <c r="AU14" s="301" t="str">
        <f ca="1">IF(AV14=$AR$11,$AQ$11,IF(AV14=$AR$12,$AQ$12,VLOOKUP(AV14,Voorblad!$X$67:$Z$98,2,FALSE)))</f>
        <v>Georgië</v>
      </c>
      <c r="AV14" s="302" t="str">
        <f t="shared" ca="1" si="1"/>
        <v>F2</v>
      </c>
      <c r="AW14" s="301" t="str">
        <f ca="1">IF(AX14=$AR$11,$AQ$11,IF(AX14=$AR$12,$AQ$12,VLOOKUP(AX14,Voorblad!$X$67:$Z$98,2,FALSE)))</f>
        <v>Engeland</v>
      </c>
      <c r="AX14" s="302" t="str">
        <f t="shared" ca="1" si="2"/>
        <v>C4</v>
      </c>
      <c r="AY14" s="301" t="str">
        <f ca="1">IF(AZ14=$AR$11,$AQ$11,IF(AZ14=$AR$12,$AQ$12,VLOOKUP(AZ14,Voorblad!$X$67:$Z$98,2,FALSE)))</f>
        <v>Engeland</v>
      </c>
      <c r="AZ14" s="302" t="str">
        <f t="shared" ca="1" si="3"/>
        <v>C4</v>
      </c>
      <c r="BA14" s="709">
        <f t="shared" si="4"/>
        <v>8</v>
      </c>
    </row>
    <row r="15" spans="1:59" ht="18.95" customHeight="1" x14ac:dyDescent="0.25">
      <c r="A15" s="163"/>
      <c r="B15" s="17"/>
      <c r="C15" s="1049"/>
      <c r="D15" s="17"/>
      <c r="E15" s="17"/>
      <c r="F15" s="17"/>
      <c r="G15" s="1325" t="str">
        <f ca="1">IF($AB$9=1," "&amp;AC15,IF($AB$9=2,IF(AC14="OO"," "&amp;AC15,""),""))</f>
        <v xml:space="preserve"> </v>
      </c>
      <c r="H15" s="1325"/>
      <c r="I15" s="1325"/>
      <c r="J15" s="1325"/>
      <c r="K15" s="1325"/>
      <c r="L15" s="1325"/>
      <c r="M15" s="17"/>
      <c r="N15" s="17"/>
      <c r="O15" s="1325" t="str">
        <f ca="1">IF($AB$9=1," "&amp;AE15,IF($AB$9=2,IF(AE14="OO"," "&amp;AE15,""),""))</f>
        <v xml:space="preserve"> </v>
      </c>
      <c r="P15" s="1325"/>
      <c r="Q15" s="1325"/>
      <c r="R15" s="1325"/>
      <c r="S15" s="1325"/>
      <c r="T15" s="1325"/>
      <c r="U15" s="1325"/>
      <c r="V15" s="17"/>
      <c r="W15" s="17"/>
      <c r="X15" s="17"/>
      <c r="Y15" s="17"/>
      <c r="Z15" s="61"/>
      <c r="AA15" s="17"/>
      <c r="AB15" s="5"/>
      <c r="AC15" s="1326" t="str">
        <f ca="1">AM86</f>
        <v/>
      </c>
      <c r="AD15" s="1326"/>
      <c r="AE15" s="1326" t="str">
        <f ca="1">AO86</f>
        <v/>
      </c>
      <c r="AF15" s="1326"/>
      <c r="AG15" s="755" t="str">
        <f>IF(AO14="FOUT","",IF(W14=1,AC14,IF(W14=2,AE14,AC14&amp;AE14)))</f>
        <v/>
      </c>
      <c r="AH15" s="449" t="str">
        <f>IF(AD14="LEEG","LEEG",IF(AD14= "FOUT","ONGELDIG",IF(LEN(SUBSTITUTE(SUBSTITUTE("|"&amp;$AD$14&amp;"|"&amp;$AF$14&amp;"|"&amp;$AD$16&amp;"|"&amp;$AF$16&amp;"|"&amp;$AD$18&amp;"|"&amp;$AF$18&amp;"|"&amp;$AD$20&amp;"|"&amp;$AF$20&amp;"|"&amp;$AD$22&amp;"|"&amp;$AF$22&amp;"|"&amp;$AD$24&amp;"|"&amp;$AF$24&amp;"|"&amp;$AD$26&amp;"|"&amp;$AF$26&amp;"|"&amp;$AD$28&amp;"|"&amp;$AF$28&amp;"|","LEEG","##"),AD14,"CONTROLE"))=$AJ$30,"GOED","DUBBEL")))</f>
        <v>LEEG</v>
      </c>
      <c r="AI15" s="5"/>
      <c r="AJ15" s="449" t="str">
        <f>IF(AF14="LEEG","LEEG",IF(AF14= "FOUT","ONGELDIG",IF(LEN(SUBSTITUTE(SUBSTITUTE("|"&amp;$AD$14&amp;"|"&amp;$AF$14&amp;"|"&amp;$AD$16&amp;"|"&amp;$AF$16&amp;"|"&amp;$AD$18&amp;"|"&amp;$AF$18&amp;"|"&amp;$AD$20&amp;"|"&amp;$AF$20&amp;"|"&amp;$AD$22&amp;"|"&amp;$AF$22&amp;"|"&amp;$AD$24&amp;"|"&amp;$AF$24&amp;"|"&amp;$AD$26&amp;"|"&amp;$AF$26&amp;"|"&amp;$AD$28&amp;"|"&amp;$AF$28&amp;"|","LEEG","##"),AF14,"CONTROLE"))=$AJ$30,"GOED","DUBBEL")))</f>
        <v>LEEG</v>
      </c>
      <c r="AK15" s="4"/>
      <c r="AL15" s="4"/>
      <c r="AM15" s="4"/>
      <c r="AN15" s="4"/>
      <c r="AO15" s="139"/>
      <c r="AP15" s="92"/>
      <c r="AQ15" s="301" t="str">
        <f ca="1">VLOOKUP(AR15,Voorblad!$X$67:$Z$98,2,FALSE)</f>
        <v>Schotland</v>
      </c>
      <c r="AR15" s="302" t="str">
        <f>AR13&amp;2</f>
        <v>A2</v>
      </c>
      <c r="AS15" s="301" t="str">
        <f ca="1">IF(AT15=$AR$11,$AQ$11,IF(AT15=$AR$12,$AQ$12,VLOOKUP(AT15,Voorblad!$X$67:$Z$98,2,FALSE)))</f>
        <v>Oekraïne</v>
      </c>
      <c r="AT15" s="302" t="str">
        <f t="shared" ca="1" si="0"/>
        <v>E4</v>
      </c>
      <c r="AU15" s="301" t="str">
        <f ca="1">IF(AV15=$AR$11,$AQ$11,IF(AV15=$AR$12,$AQ$12,VLOOKUP(AV15,Voorblad!$X$67:$Z$98,2,FALSE)))</f>
        <v>Hongarije</v>
      </c>
      <c r="AV15" s="302" t="str">
        <f t="shared" ca="1" si="1"/>
        <v>A3</v>
      </c>
      <c r="AW15" s="301" t="str">
        <f ca="1">IF(AX15=$AR$11,$AQ$11,IF(AX15=$AR$12,$AQ$12,VLOOKUP(AX15,Voorblad!$X$67:$Z$98,2,FALSE)))</f>
        <v>Hongarije</v>
      </c>
      <c r="AX15" s="302" t="str">
        <f t="shared" ca="1" si="2"/>
        <v>A3</v>
      </c>
      <c r="AY15" s="301" t="str">
        <f ca="1">IF(AZ15=$AR$11,$AQ$11,IF(AZ15=$AR$12,$AQ$12,VLOOKUP(AZ15,Voorblad!$X$67:$Z$98,2,FALSE)))</f>
        <v>Frankrijk</v>
      </c>
      <c r="AZ15" s="302" t="str">
        <f t="shared" ca="1" si="3"/>
        <v>D4</v>
      </c>
      <c r="BA15" s="709">
        <f t="shared" si="4"/>
        <v>10</v>
      </c>
    </row>
    <row r="16" spans="1:59" ht="15" customHeight="1" x14ac:dyDescent="0.25">
      <c r="A16" s="163"/>
      <c r="B16" s="17"/>
      <c r="C16" s="1049"/>
      <c r="D16" s="6">
        <f>D14-1</f>
        <v>37</v>
      </c>
      <c r="E16" s="11">
        <f>E14+TIME(3,0,0)</f>
        <v>45472.875</v>
      </c>
      <c r="F16" s="135">
        <f>E16+TIME(0,0,0)</f>
        <v>45472.875</v>
      </c>
      <c r="G16" s="1331" t="str">
        <f ca="1">" "&amp;Taal04!$B$74&amp;" A"</f>
        <v xml:space="preserve"> Nr.1 Groep A</v>
      </c>
      <c r="H16" s="1331"/>
      <c r="I16" s="1331"/>
      <c r="J16" s="1331"/>
      <c r="K16" s="1331"/>
      <c r="L16" s="705"/>
      <c r="M16" s="702"/>
      <c r="N16" s="703" t="str">
        <f>IF(AK16="LEEG","▼   ","")&amp;"-  "</f>
        <v xml:space="preserve">▼   -  </v>
      </c>
      <c r="O16" s="1331" t="str">
        <f ca="1">" "&amp;Taal04!$B$75&amp;" C"</f>
        <v xml:space="preserve"> Nr.2 Groep C</v>
      </c>
      <c r="P16" s="1331"/>
      <c r="Q16" s="1331"/>
      <c r="R16" s="1331"/>
      <c r="S16" s="1331"/>
      <c r="T16" s="1331"/>
      <c r="U16" s="705"/>
      <c r="V16" s="703" t="str">
        <f>IF(AL16="LEEG","▼   ","")&amp;": "</f>
        <v xml:space="preserve">▼   : </v>
      </c>
      <c r="W16" s="1316"/>
      <c r="X16" s="1316"/>
      <c r="Y16" s="1316"/>
      <c r="Z16" s="61"/>
      <c r="AA16" s="17"/>
      <c r="AB16" s="5"/>
      <c r="AC16" s="271" t="str">
        <f>IF(OR(L16="",ISBLANK(L16)),"OO",IF(TYPE(VLOOKUP(L16,Taal02!$C$100:$D$419,2,FALSE))=16,"XX",VLOOKUP(L16,Taal02!$C$100:$D$419,2,FALSE)))</f>
        <v>OO</v>
      </c>
      <c r="AD16" s="219" t="str">
        <f>IF(AC16="OO","LEEG",IF(AC16="XX","FOUT",VLOOKUP(AC16,Voorblad!$X$65:$Z$98,3,FALSE)))</f>
        <v>LEEG</v>
      </c>
      <c r="AE16" s="271" t="str">
        <f>IF(OR(U16="",ISBLANK(U16)),"OO",IF(TYPE(VLOOKUP(U16,Taal02!$C$100:$D$419,2,FALSE))=16,"XX",VLOOKUP(U16,Taal02!$C$100:$D$419,2,FALSE)))</f>
        <v>OO</v>
      </c>
      <c r="AF16" s="219" t="str">
        <f>IF(AE16="OO","LEEG",IF(AE16="XX","FOUT",VLOOKUP(AE16,Voorblad!$X$65:$Z$98,3,FALSE)))</f>
        <v>LEEG</v>
      </c>
      <c r="AG16" s="5"/>
      <c r="AH16" s="10" t="s">
        <v>110</v>
      </c>
      <c r="AI16" s="10" t="s">
        <v>12</v>
      </c>
      <c r="AJ16" s="10" t="s">
        <v>119</v>
      </c>
      <c r="AK16" s="4" t="str">
        <f>IF(AD16="LEEG","LEEG",IF(TYPE(AD16)=2,IF(LEN(AD16)=2,IF(AND($AI$11=0,AH17="DUBBEL"),"ONGELDIG","GOED"),"ONGELDIG"),"ONGELDIG"))</f>
        <v>LEEG</v>
      </c>
      <c r="AL16" s="4" t="str">
        <f>IF(AF16="LEEG","LEEG",IF(TYPE(AF16)=2,IF(LEN(AF16)=2,IF(AND($AI$11=0,AJ17="DUBBEL"),"ONGELDIG","GOED"),"ONGELDIG"),"ONGELDIG"))</f>
        <v>LEEG</v>
      </c>
      <c r="AM16" s="4"/>
      <c r="AN16" s="4" t="str">
        <f>IF(ISBLANK(W16),"LEEG",IF(OR(W16=1,W16=2,W16=3),"GOED","ONGELDIG"))</f>
        <v>LEEG</v>
      </c>
      <c r="AO16" s="139" t="str">
        <f>IF(AK16="GOED",IF(AL16="GOED",IF(AN16="GOED",AD16&amp;AF16&amp;W16&amp;"|","FOUT"),"FOUT"),"FOUT")</f>
        <v>FOUT</v>
      </c>
      <c r="AP16" s="92">
        <f>LEN(AO16)</f>
        <v>4</v>
      </c>
      <c r="AQ16" s="301" t="str">
        <f ca="1">VLOOKUP(AR16,Voorblad!$X$67:$Z$98,2,FALSE)</f>
        <v>Hongarije</v>
      </c>
      <c r="AR16" s="302" t="str">
        <f>AR13&amp;3</f>
        <v>A3</v>
      </c>
      <c r="AS16" s="301" t="str">
        <f ca="1">IF(AT16=$AR$11,$AQ$11,IF(AT16=$AR$12,$AQ$12,VLOOKUP(AT16,Voorblad!$X$67:$Z$98,2,FALSE)))</f>
        <v>Oostenrijk</v>
      </c>
      <c r="AT16" s="302" t="str">
        <f t="shared" ca="1" si="0"/>
        <v>D3</v>
      </c>
      <c r="AU16" s="301" t="str">
        <f ca="1">IF(AV16=$AR$11,$AQ$11,IF(AV16=$AR$12,$AQ$12,VLOOKUP(AV16,Voorblad!$X$67:$Z$98,2,FALSE)))</f>
        <v>Nederland</v>
      </c>
      <c r="AV16" s="302" t="str">
        <f t="shared" ca="1" si="1"/>
        <v>D2</v>
      </c>
      <c r="AW16" s="301" t="str">
        <f ca="1">IF(AX16=$AR$11,$AQ$11,IF(AX16=$AR$12,$AQ$12,VLOOKUP(AX16,Voorblad!$X$67:$Z$98,2,FALSE)))</f>
        <v>Italië</v>
      </c>
      <c r="AX16" s="302" t="str">
        <f t="shared" ca="1" si="2"/>
        <v>B3</v>
      </c>
      <c r="AY16" s="301" t="str">
        <f ca="1">IF(AZ16=$AR$11,$AQ$11,IF(AZ16=$AR$12,$AQ$12,VLOOKUP(AZ16,Voorblad!$X$67:$Z$98,2,FALSE)))</f>
        <v>Hongarije</v>
      </c>
      <c r="AZ16" s="302" t="str">
        <f t="shared" ca="1" si="3"/>
        <v>A3</v>
      </c>
      <c r="BA16" s="709">
        <f t="shared" si="4"/>
        <v>12</v>
      </c>
    </row>
    <row r="17" spans="1:53" ht="18.95" customHeight="1" x14ac:dyDescent="0.25">
      <c r="A17" s="163"/>
      <c r="B17" s="17"/>
      <c r="C17" s="1049"/>
      <c r="D17" s="17"/>
      <c r="E17" s="17"/>
      <c r="F17" s="17"/>
      <c r="G17" s="1325" t="str">
        <f ca="1">IF($AB$9=1," "&amp;AC17,IF($AB$9=2,IF(AC16="OO"," "&amp;AC17,""),""))</f>
        <v xml:space="preserve"> </v>
      </c>
      <c r="H17" s="1325"/>
      <c r="I17" s="1325"/>
      <c r="J17" s="1325"/>
      <c r="K17" s="1325"/>
      <c r="L17" s="1325"/>
      <c r="M17" s="17"/>
      <c r="N17" s="17"/>
      <c r="O17" s="1325" t="str">
        <f ca="1">IF($AB$9=1," "&amp;AE17,IF($AB$9=2,IF(AE16="OO"," "&amp;AE17,""),""))</f>
        <v xml:space="preserve"> </v>
      </c>
      <c r="P17" s="1325"/>
      <c r="Q17" s="1325"/>
      <c r="R17" s="1325"/>
      <c r="S17" s="1325"/>
      <c r="T17" s="1325"/>
      <c r="U17" s="1325"/>
      <c r="V17" s="17"/>
      <c r="W17" s="17"/>
      <c r="X17" s="17"/>
      <c r="Y17" s="17"/>
      <c r="Z17" s="61"/>
      <c r="AA17" s="17"/>
      <c r="AB17" s="5"/>
      <c r="AC17" s="1326" t="str">
        <f ca="1">AM87</f>
        <v/>
      </c>
      <c r="AD17" s="1326"/>
      <c r="AE17" s="1326" t="str">
        <f ca="1">AO87</f>
        <v/>
      </c>
      <c r="AF17" s="1326"/>
      <c r="AG17" s="755" t="str">
        <f>IF(AO16="FOUT","",IF(W16=1,AC16,IF(W16=2,AE16,AC16&amp;AE16)))</f>
        <v/>
      </c>
      <c r="AH17" s="449" t="str">
        <f>IF(AD16="LEEG","LEEG",IF(AD16= "FOUT","ONGELDIG",IF(LEN(SUBSTITUTE(SUBSTITUTE("|"&amp;$AD$14&amp;"|"&amp;$AF$14&amp;"|"&amp;$AD$16&amp;"|"&amp;$AF$16&amp;"|"&amp;$AD$18&amp;"|"&amp;$AF$18&amp;"|"&amp;$AD$20&amp;"|"&amp;$AF$20&amp;"|"&amp;$AD$22&amp;"|"&amp;$AF$22&amp;"|"&amp;$AD$24&amp;"|"&amp;$AF$24&amp;"|"&amp;$AD$26&amp;"|"&amp;$AF$26&amp;"|"&amp;$AD$28&amp;"|"&amp;$AF$28&amp;"|","LEEG","##"),AD16,"CONTROLE"))=$AJ$30,"GOED","DUBBEL")))</f>
        <v>LEEG</v>
      </c>
      <c r="AI17" s="5"/>
      <c r="AJ17" s="449" t="str">
        <f>IF(AF16="LEEG","LEEG",IF(AF16= "FOUT","ONGELDIG",IF(LEN(SUBSTITUTE(SUBSTITUTE("|"&amp;$AD$14&amp;"|"&amp;$AF$14&amp;"|"&amp;$AD$16&amp;"|"&amp;$AF$16&amp;"|"&amp;$AD$18&amp;"|"&amp;$AF$18&amp;"|"&amp;$AD$20&amp;"|"&amp;$AF$20&amp;"|"&amp;$AD$22&amp;"|"&amp;$AF$22&amp;"|"&amp;$AD$24&amp;"|"&amp;$AF$24&amp;"|"&amp;$AD$26&amp;"|"&amp;$AF$26&amp;"|"&amp;$AD$28&amp;"|"&amp;$AF$28&amp;"|","LEEG","##"),AF16,"CONTROLE"))=$AJ$30,"GOED","DUBBEL")))</f>
        <v>LEEG</v>
      </c>
      <c r="AK17" s="4"/>
      <c r="AL17" s="4"/>
      <c r="AM17" s="4"/>
      <c r="AN17" s="4"/>
      <c r="AO17" s="139"/>
      <c r="AP17" s="92"/>
      <c r="AQ17" s="303" t="str">
        <f ca="1">VLOOKUP(AR17,Voorblad!$X$67:$Z$98,2,FALSE)</f>
        <v>Zwitserland</v>
      </c>
      <c r="AR17" s="305" t="s">
        <v>113</v>
      </c>
      <c r="AS17" s="301" t="str">
        <f ca="1">IF(AT17=$AR$11,$AQ$11,IF(AT17=$AR$12,$AQ$12,VLOOKUP(AT17,Voorblad!$X$67:$Z$98,2,FALSE)))</f>
        <v>Polen</v>
      </c>
      <c r="AT17" s="302" t="str">
        <f t="shared" ca="1" si="0"/>
        <v>D1</v>
      </c>
      <c r="AU17" s="301" t="str">
        <f ca="1">IF(AV17=$AR$11,$AQ$11,IF(AV17=$AR$12,$AQ$12,VLOOKUP(AV17,Voorblad!$X$67:$Z$98,2,FALSE)))</f>
        <v>Oekraïne</v>
      </c>
      <c r="AV17" s="302" t="str">
        <f t="shared" ca="1" si="1"/>
        <v>E4</v>
      </c>
      <c r="AW17" s="301" t="str">
        <f ca="1">IF(AX17=$AR$11,$AQ$11,IF(AX17=$AR$12,$AQ$12,VLOOKUP(AX17,Voorblad!$X$67:$Z$98,2,FALSE)))</f>
        <v>Kroatië</v>
      </c>
      <c r="AX17" s="302" t="str">
        <f t="shared" ca="1" si="2"/>
        <v>B2</v>
      </c>
      <c r="AY17" s="301" t="str">
        <f ca="1">IF(AZ17=$AR$11,$AQ$11,IF(AZ17=$AR$12,$AQ$12,VLOOKUP(AZ17,Voorblad!$X$67:$Z$98,2,FALSE)))</f>
        <v>Italië</v>
      </c>
      <c r="AZ17" s="302" t="str">
        <f t="shared" ca="1" si="3"/>
        <v>B3</v>
      </c>
      <c r="BA17" s="709">
        <f t="shared" si="4"/>
        <v>14</v>
      </c>
    </row>
    <row r="18" spans="1:53" ht="15" customHeight="1" x14ac:dyDescent="0.25">
      <c r="A18" s="163"/>
      <c r="B18" s="17"/>
      <c r="C18" s="1049"/>
      <c r="D18" s="6">
        <f>D16+3</f>
        <v>40</v>
      </c>
      <c r="E18" s="11">
        <f>E14+1</f>
        <v>45473.75</v>
      </c>
      <c r="F18" s="135">
        <f>E18+TIME(0,0,0)</f>
        <v>45473.75</v>
      </c>
      <c r="G18" s="1331" t="str">
        <f ca="1">" "&amp;Taal04!$B$74&amp;" C"</f>
        <v xml:space="preserve"> Nr.1 Groep C</v>
      </c>
      <c r="H18" s="1331"/>
      <c r="I18" s="1331"/>
      <c r="J18" s="1331"/>
      <c r="K18" s="1331"/>
      <c r="L18" s="705"/>
      <c r="M18" s="702"/>
      <c r="N18" s="703" t="str">
        <f>IF(AK18="LEEG","▼   ","")&amp;"-  "</f>
        <v xml:space="preserve">▼   -  </v>
      </c>
      <c r="O18" s="1331" t="str">
        <f ca="1">" "&amp;Taal04!$B$76&amp;" D/E/F"</f>
        <v xml:space="preserve"> Nr.3 Groep D/E/F</v>
      </c>
      <c r="P18" s="1331"/>
      <c r="Q18" s="1331"/>
      <c r="R18" s="1331"/>
      <c r="S18" s="1331"/>
      <c r="T18" s="1331"/>
      <c r="U18" s="705"/>
      <c r="V18" s="703" t="str">
        <f>IF(AL18="LEEG","▼   ","")&amp;": "</f>
        <v xml:space="preserve">▼   : </v>
      </c>
      <c r="W18" s="1316"/>
      <c r="X18" s="1316"/>
      <c r="Y18" s="1316"/>
      <c r="Z18" s="61"/>
      <c r="AA18" s="17"/>
      <c r="AB18" s="5"/>
      <c r="AC18" s="271" t="str">
        <f>IF(OR(L18="",ISBLANK(L18)),"OO",IF(TYPE(VLOOKUP(L18,Taal02!$C$100:$D$419,2,FALSE))=16,"XX",VLOOKUP(L18,Taal02!$C$100:$D$419,2,FALSE)))</f>
        <v>OO</v>
      </c>
      <c r="AD18" s="219" t="str">
        <f>IF(AC18="OO","LEEG",IF(AC18="XX","FOUT",VLOOKUP(AC18,Voorblad!$X$65:$Z$98,3,FALSE)))</f>
        <v>LEEG</v>
      </c>
      <c r="AE18" s="271" t="str">
        <f>IF(OR(U18="",ISBLANK(U18)),"OO",IF(TYPE(VLOOKUP(U18,Taal02!$C$100:$D$419,2,FALSE))=16,"XX",VLOOKUP(U18,Taal02!$C$100:$D$419,2,FALSE)))</f>
        <v>OO</v>
      </c>
      <c r="AF18" s="219" t="str">
        <f>IF(AE18="OO","LEEG",IF(AE18="XX","FOUT",VLOOKUP(AE18,Voorblad!$X$65:$Z$98,3,FALSE)))</f>
        <v>LEEG</v>
      </c>
      <c r="AG18" s="5"/>
      <c r="AH18" s="10" t="s">
        <v>118</v>
      </c>
      <c r="AI18" s="10" t="s">
        <v>12</v>
      </c>
      <c r="AJ18" s="10" t="s">
        <v>2589</v>
      </c>
      <c r="AK18" s="4" t="str">
        <f>IF(AD18="LEEG","LEEG",IF(TYPE(AD18)=2,IF(LEN(AD18)=2,IF(AND($AI$11=0,AH19="DUBBEL"),"ONGELDIG","GOED"),"ONGELDIG"),"ONGELDIG"))</f>
        <v>LEEG</v>
      </c>
      <c r="AL18" s="4" t="str">
        <f>IF(AF18="LEEG","LEEG",IF(TYPE(AF18)=2,IF(LEN(AF18)=2,IF(AND($AI$11=0,AJ19="DUBBEL"),"ONGELDIG","GOED"),"ONGELDIG"),"ONGELDIG"))</f>
        <v>LEEG</v>
      </c>
      <c r="AM18" s="4"/>
      <c r="AN18" s="4" t="str">
        <f>IF(ISBLANK(W18),"LEEG",IF(OR(W18=1,W18=2,W18=3),"GOED","ONGELDIG"))</f>
        <v>LEEG</v>
      </c>
      <c r="AO18" s="139" t="str">
        <f>IF(AK18="GOED",IF(AL18="GOED",IF(AN18="GOED",AD18&amp;AF18&amp;W18&amp;"|","FOUT"),"FOUT"),"FOUT")</f>
        <v>FOUT</v>
      </c>
      <c r="AP18" s="92">
        <f>LEN(AO18)</f>
        <v>4</v>
      </c>
      <c r="AQ18" s="297"/>
      <c r="AR18" s="299" t="s">
        <v>3</v>
      </c>
      <c r="AS18" s="301" t="str">
        <f ca="1">IF(AT18=$AR$11,$AQ$11,IF(AT18=$AR$12,$AQ$12,VLOOKUP(AT18,Voorblad!$X$67:$Z$98,2,FALSE)))</f>
        <v>Portugal</v>
      </c>
      <c r="AT18" s="302" t="str">
        <f t="shared" ca="1" si="0"/>
        <v>F3</v>
      </c>
      <c r="AU18" s="301" t="str">
        <f ca="1">IF(AV18=$AR$11,$AQ$11,IF(AV18=$AR$12,$AQ$12,VLOOKUP(AV18,Voorblad!$X$67:$Z$98,2,FALSE)))</f>
        <v>Oostenrijk</v>
      </c>
      <c r="AV18" s="302" t="str">
        <f t="shared" ca="1" si="1"/>
        <v>D3</v>
      </c>
      <c r="AW18" s="301" t="str">
        <f ca="1">IF(AX18=$AR$11,$AQ$11,IF(AX18=$AR$12,$AQ$12,VLOOKUP(AX18,Voorblad!$X$67:$Z$98,2,FALSE)))</f>
        <v>Schotland</v>
      </c>
      <c r="AX18" s="302" t="str">
        <f t="shared" ca="1" si="2"/>
        <v>A2</v>
      </c>
      <c r="AY18" s="301" t="str">
        <f ca="1">IF(AZ18=$AR$11,$AQ$11,IF(AZ18=$AR$12,$AQ$12,VLOOKUP(AZ18,Voorblad!$X$67:$Z$98,2,FALSE)))</f>
        <v>Kroatië</v>
      </c>
      <c r="AZ18" s="302" t="str">
        <f t="shared" ca="1" si="3"/>
        <v>B2</v>
      </c>
      <c r="BA18" s="709">
        <f t="shared" si="4"/>
        <v>16</v>
      </c>
    </row>
    <row r="19" spans="1:53" ht="18.95" customHeight="1" x14ac:dyDescent="0.25">
      <c r="A19" s="163"/>
      <c r="B19" s="17"/>
      <c r="C19" s="1049"/>
      <c r="D19" s="17"/>
      <c r="E19" s="17"/>
      <c r="F19" s="17"/>
      <c r="G19" s="1325" t="str">
        <f ca="1">IF($AB$9=1," "&amp;AC19,IF($AB$9=2,IF(AC18="OO"," "&amp;AC19,""),""))</f>
        <v xml:space="preserve"> </v>
      </c>
      <c r="H19" s="1325"/>
      <c r="I19" s="1325"/>
      <c r="J19" s="1325"/>
      <c r="K19" s="1325"/>
      <c r="L19" s="1325"/>
      <c r="M19" s="17"/>
      <c r="N19" s="17"/>
      <c r="O19" s="1325" t="str">
        <f ca="1">IF($AB$9=1," "&amp;AE19,IF($AB$9=2,IF(AE18="OO"," "&amp;AE19,""),""))</f>
        <v xml:space="preserve"> </v>
      </c>
      <c r="P19" s="1325"/>
      <c r="Q19" s="1325"/>
      <c r="R19" s="1325"/>
      <c r="S19" s="1325"/>
      <c r="T19" s="1325"/>
      <c r="U19" s="1325"/>
      <c r="V19" s="17"/>
      <c r="W19" s="17"/>
      <c r="X19" s="17"/>
      <c r="Y19" s="17"/>
      <c r="Z19" s="61"/>
      <c r="AA19" s="17"/>
      <c r="AB19" s="5"/>
      <c r="AC19" s="1326" t="str">
        <f ca="1">AM88</f>
        <v/>
      </c>
      <c r="AD19" s="1326"/>
      <c r="AE19" s="1326" t="str">
        <f ca="1">AO88</f>
        <v/>
      </c>
      <c r="AF19" s="1326"/>
      <c r="AG19" s="755" t="str">
        <f>IF(AO18="FOUT","",IF(W18=1,AC18,IF(W18=2,AE18,AC18&amp;AE18)))</f>
        <v/>
      </c>
      <c r="AH19" s="449" t="str">
        <f>IF(AD18="LEEG","LEEG",IF(AD18= "FOUT","ONGELDIG",IF(LEN(SUBSTITUTE(SUBSTITUTE("|"&amp;$AD$14&amp;"|"&amp;$AF$14&amp;"|"&amp;$AD$16&amp;"|"&amp;$AF$16&amp;"|"&amp;$AD$18&amp;"|"&amp;$AF$18&amp;"|"&amp;$AD$20&amp;"|"&amp;$AF$20&amp;"|"&amp;$AD$22&amp;"|"&amp;$AF$22&amp;"|"&amp;$AD$24&amp;"|"&amp;$AF$24&amp;"|"&amp;$AD$26&amp;"|"&amp;$AF$26&amp;"|"&amp;$AD$28&amp;"|"&amp;$AF$28&amp;"|","LEEG","##"),AD18,"CONTROLE"))=$AJ$30,"GOED","DUBBEL")))</f>
        <v>LEEG</v>
      </c>
      <c r="AI19" s="5"/>
      <c r="AJ19" s="449" t="str">
        <f>IF(AF18="LEEG","LEEG",IF(AF18= "FOUT","ONGELDIG",IF(LEN(SUBSTITUTE(SUBSTITUTE("|"&amp;$AD$14&amp;"|"&amp;$AF$14&amp;"|"&amp;$AD$16&amp;"|"&amp;$AF$16&amp;"|"&amp;$AD$18&amp;"|"&amp;$AF$18&amp;"|"&amp;$AD$20&amp;"|"&amp;$AF$20&amp;"|"&amp;$AD$22&amp;"|"&amp;$AF$22&amp;"|"&amp;$AD$24&amp;"|"&amp;$AF$24&amp;"|"&amp;$AD$26&amp;"|"&amp;$AF$26&amp;"|"&amp;$AD$28&amp;"|"&amp;$AF$28&amp;"|","LEEG","##"),AF18,"CONTROLE"))=$AJ$30,"GOED","DUBBEL")))</f>
        <v>LEEG</v>
      </c>
      <c r="AK19" s="4"/>
      <c r="AL19" s="4"/>
      <c r="AM19" s="4"/>
      <c r="AN19" s="4"/>
      <c r="AO19" s="139"/>
      <c r="AP19" s="92"/>
      <c r="AQ19" s="301" t="str">
        <f ca="1">VLOOKUP(AR19,Voorblad!$X$67:$Z$98,2,FALSE)</f>
        <v>Spanje</v>
      </c>
      <c r="AR19" s="302" t="str">
        <f>AR18&amp;1</f>
        <v>B1</v>
      </c>
      <c r="AS19" s="301" t="str">
        <f ca="1">IF(AT19=$AR$11,$AQ$11,IF(AT19=$AR$12,$AQ$12,VLOOKUP(AT19,Voorblad!$X$67:$Z$98,2,FALSE)))</f>
        <v>Roemenië</v>
      </c>
      <c r="AT19" s="302" t="str">
        <f t="shared" ca="1" si="0"/>
        <v>E3</v>
      </c>
      <c r="AU19" s="301" t="str">
        <f ca="1">IF(AV19=$AR$11,$AQ$11,IF(AV19=$AR$12,$AQ$12,VLOOKUP(AV19,Voorblad!$X$67:$Z$98,2,FALSE)))</f>
        <v>Polen</v>
      </c>
      <c r="AV19" s="302" t="str">
        <f t="shared" ca="1" si="1"/>
        <v>D1</v>
      </c>
      <c r="AW19" s="301" t="str">
        <f ca="1">IF(AX19=$AR$11,$AQ$11,IF(AX19=$AR$12,$AQ$12,VLOOKUP(AX19,Voorblad!$X$67:$Z$98,2,FALSE)))</f>
        <v>Servië</v>
      </c>
      <c r="AX19" s="302" t="str">
        <f t="shared" ca="1" si="2"/>
        <v>C3</v>
      </c>
      <c r="AY19" s="301" t="str">
        <f ca="1">IF(AZ19=$AR$11,$AQ$11,IF(AZ19=$AR$12,$AQ$12,VLOOKUP(AZ19,Voorblad!$X$67:$Z$98,2,FALSE)))</f>
        <v>Nederland</v>
      </c>
      <c r="AZ19" s="302" t="str">
        <f t="shared" ca="1" si="3"/>
        <v>D2</v>
      </c>
      <c r="BA19" s="709">
        <f t="shared" si="4"/>
        <v>18</v>
      </c>
    </row>
    <row r="20" spans="1:53" ht="15" customHeight="1" x14ac:dyDescent="0.25">
      <c r="A20" s="163"/>
      <c r="B20" s="17"/>
      <c r="C20" s="1049"/>
      <c r="D20" s="6">
        <f>D18-1</f>
        <v>39</v>
      </c>
      <c r="E20" s="11">
        <f>E16+1</f>
        <v>45473.875</v>
      </c>
      <c r="F20" s="135">
        <f>E20+TIME(0,0,0)</f>
        <v>45473.875</v>
      </c>
      <c r="G20" s="1331" t="str">
        <f ca="1">" "&amp;Taal04!$B$74&amp;" B"</f>
        <v xml:space="preserve"> Nr.1 Groep B</v>
      </c>
      <c r="H20" s="1331"/>
      <c r="I20" s="1331"/>
      <c r="J20" s="1331"/>
      <c r="K20" s="1331"/>
      <c r="L20" s="704"/>
      <c r="M20" s="702"/>
      <c r="N20" s="703" t="str">
        <f>IF(AK20="LEEG","▼   ","")&amp;"-  "</f>
        <v xml:space="preserve">▼   -  </v>
      </c>
      <c r="O20" s="1331" t="str">
        <f ca="1">" "&amp;Taal04!$B$76&amp;" A/D/E/F"</f>
        <v xml:space="preserve"> Nr.3 Groep A/D/E/F</v>
      </c>
      <c r="P20" s="1331"/>
      <c r="Q20" s="1331"/>
      <c r="R20" s="1331"/>
      <c r="S20" s="1331"/>
      <c r="T20" s="1331"/>
      <c r="U20" s="705"/>
      <c r="V20" s="703" t="str">
        <f>IF(AL20="LEEG","▼   ","")&amp;": "</f>
        <v xml:space="preserve">▼   : </v>
      </c>
      <c r="W20" s="1316"/>
      <c r="X20" s="1316"/>
      <c r="Y20" s="1316"/>
      <c r="Z20" s="61"/>
      <c r="AA20" s="17"/>
      <c r="AB20" s="5"/>
      <c r="AC20" s="271" t="str">
        <f>IF(OR(L20="",ISBLANK(L20)),"OO",IF(TYPE(VLOOKUP(L20,Taal02!$C$100:$D$419,2,FALSE))=16,"XX",VLOOKUP(L20,Taal02!$C$100:$D$419,2,FALSE)))</f>
        <v>OO</v>
      </c>
      <c r="AD20" s="219" t="str">
        <f>IF(AC20="OO","LEEG",IF(AC20="XX","FOUT",VLOOKUP(AC20,Voorblad!$X$65:$Z$98,3,FALSE)))</f>
        <v>LEEG</v>
      </c>
      <c r="AE20" s="271" t="str">
        <f>IF(OR(U20="",ISBLANK(U20)),"OO",IF(TYPE(VLOOKUP(U20,Taal02!$C$100:$D$419,2,FALSE))=16,"XX",VLOOKUP(U20,Taal02!$C$100:$D$419,2,FALSE)))</f>
        <v>OO</v>
      </c>
      <c r="AF20" s="219" t="str">
        <f>IF(AE20="OO","LEEG",IF(AE20="XX","FOUT",VLOOKUP(AE20,Voorblad!$X$65:$Z$98,3,FALSE)))</f>
        <v>LEEG</v>
      </c>
      <c r="AG20" s="5"/>
      <c r="AH20" s="10" t="s">
        <v>114</v>
      </c>
      <c r="AI20" s="10" t="s">
        <v>12</v>
      </c>
      <c r="AJ20" s="10" t="s">
        <v>2590</v>
      </c>
      <c r="AK20" s="4" t="str">
        <f>IF(AD20="LEEG","LEEG",IF(TYPE(AD20)=2,IF(LEN(AD20)=2,IF(AND($AI$11=0,AH21="DUBBEL"),"ONGELDIG","GOED"),"ONGELDIG"),"ONGELDIG"))</f>
        <v>LEEG</v>
      </c>
      <c r="AL20" s="4" t="str">
        <f>IF(AF20="LEEG","LEEG",IF(TYPE(AF20)=2,IF(LEN(AF20)=2,IF(AND($AI$11=0,AJ21="DUBBEL"),"ONGELDIG","GOED"),"ONGELDIG"),"ONGELDIG"))</f>
        <v>LEEG</v>
      </c>
      <c r="AM20" s="4"/>
      <c r="AN20" s="4" t="str">
        <f>IF(ISBLANK(W20),"LEEG",IF(OR(W20=1,W20=2,W20=3),"GOED","ONGELDIG"))</f>
        <v>LEEG</v>
      </c>
      <c r="AO20" s="139" t="str">
        <f>IF(AK20="GOED",IF(AL20="GOED",IF(AN20="GOED",AD20&amp;AF20&amp;W20&amp;"|","FOUT"),"FOUT"),"FOUT")</f>
        <v>FOUT</v>
      </c>
      <c r="AP20" s="92">
        <f>LEN(AO20)</f>
        <v>4</v>
      </c>
      <c r="AQ20" s="301" t="str">
        <f ca="1">VLOOKUP(AR20,Voorblad!$X$67:$Z$98,2,FALSE)</f>
        <v>Kroatië</v>
      </c>
      <c r="AR20" s="302" t="str">
        <f>AR18&amp;2</f>
        <v>B2</v>
      </c>
      <c r="AS20" s="301" t="str">
        <f ca="1">IF(AT20=$AR$11,$AQ$11,IF(AT20=$AR$12,$AQ$12,VLOOKUP(AT20,Voorblad!$X$67:$Z$98,2,FALSE)))</f>
        <v>Slowakije</v>
      </c>
      <c r="AT20" s="302" t="str">
        <f t="shared" ca="1" si="0"/>
        <v>E2</v>
      </c>
      <c r="AU20" s="301" t="str">
        <f ca="1">IF(AV20=$AR$11,$AQ$11,IF(AV20=$AR$12,$AQ$12,VLOOKUP(AV20,Voorblad!$X$67:$Z$98,2,FALSE)))</f>
        <v>Portugal</v>
      </c>
      <c r="AV20" s="302" t="str">
        <f t="shared" ca="1" si="1"/>
        <v>F3</v>
      </c>
      <c r="AW20" s="301" t="str">
        <f ca="1">IF(AX20=$AR$11,$AQ$11,IF(AX20=$AR$12,$AQ$12,VLOOKUP(AX20,Voorblad!$X$67:$Z$98,2,FALSE)))</f>
        <v>Slovenië</v>
      </c>
      <c r="AX20" s="302" t="str">
        <f t="shared" ca="1" si="2"/>
        <v>C1</v>
      </c>
      <c r="AY20" s="301" t="str">
        <f ca="1">IF(AZ20=$AR$11,$AQ$11,IF(AZ20=$AR$12,$AQ$12,VLOOKUP(AZ20,Voorblad!$X$67:$Z$98,2,FALSE)))</f>
        <v>Oostenrijk</v>
      </c>
      <c r="AZ20" s="302" t="str">
        <f t="shared" ca="1" si="3"/>
        <v>D3</v>
      </c>
      <c r="BA20" s="709">
        <f t="shared" si="4"/>
        <v>20</v>
      </c>
    </row>
    <row r="21" spans="1:53" ht="18.95" customHeight="1" x14ac:dyDescent="0.4">
      <c r="A21" s="163"/>
      <c r="B21" s="17"/>
      <c r="C21" s="1049"/>
      <c r="D21" s="17"/>
      <c r="E21" s="17"/>
      <c r="F21" s="17"/>
      <c r="G21" s="1325" t="str">
        <f ca="1">IF($AB$9=1," "&amp;AC21,IF($AB$9=2,IF(AC20="OO"," "&amp;AC21,""),""))</f>
        <v xml:space="preserve"> </v>
      </c>
      <c r="H21" s="1325"/>
      <c r="I21" s="1325"/>
      <c r="J21" s="1325"/>
      <c r="K21" s="1325"/>
      <c r="L21" s="1325"/>
      <c r="M21" s="17"/>
      <c r="N21" s="17"/>
      <c r="O21" s="1325" t="str">
        <f ca="1">IF($AB$9=1," "&amp;AE21,IF($AB$9=2,IF(AE20="OO"," "&amp;AE21,""),""))</f>
        <v xml:space="preserve"> </v>
      </c>
      <c r="P21" s="1325"/>
      <c r="Q21" s="1325"/>
      <c r="R21" s="1325"/>
      <c r="S21" s="1325"/>
      <c r="T21" s="1325"/>
      <c r="U21" s="1325"/>
      <c r="V21" s="17"/>
      <c r="W21" s="17"/>
      <c r="X21" s="17"/>
      <c r="Y21" s="17"/>
      <c r="Z21" s="1058"/>
      <c r="AA21" s="17"/>
      <c r="AB21" s="5"/>
      <c r="AC21" s="1326" t="str">
        <f ca="1">AM89</f>
        <v/>
      </c>
      <c r="AD21" s="1326"/>
      <c r="AE21" s="1326" t="str">
        <f ca="1">AO89</f>
        <v/>
      </c>
      <c r="AF21" s="1326"/>
      <c r="AG21" s="755" t="str">
        <f>IF(AO20="FOUT","",IF(W20=1,AC20,IF(W20=2,AE20,AC20&amp;AE20)))</f>
        <v/>
      </c>
      <c r="AH21" s="449" t="str">
        <f>IF(AD20="LEEG","LEEG",IF(AD20= "FOUT","ONGELDIG",IF(LEN(SUBSTITUTE(SUBSTITUTE("|"&amp;$AD$14&amp;"|"&amp;$AF$14&amp;"|"&amp;$AD$16&amp;"|"&amp;$AF$16&amp;"|"&amp;$AD$18&amp;"|"&amp;$AF$18&amp;"|"&amp;$AD$20&amp;"|"&amp;$AF$20&amp;"|"&amp;$AD$22&amp;"|"&amp;$AF$22&amp;"|"&amp;$AD$24&amp;"|"&amp;$AF$24&amp;"|"&amp;$AD$26&amp;"|"&amp;$AF$26&amp;"|"&amp;$AD$28&amp;"|"&amp;$AF$28&amp;"|","LEEG","##"),AD20,"CONTROLE"))=$AJ$30,"GOED","DUBBEL")))</f>
        <v>LEEG</v>
      </c>
      <c r="AI21" s="5"/>
      <c r="AJ21" s="449" t="str">
        <f>IF(AF20="LEEG","LEEG",IF(AF20= "FOUT","ONGELDIG",IF(LEN(SUBSTITUTE(SUBSTITUTE("|"&amp;$AD$14&amp;"|"&amp;$AF$14&amp;"|"&amp;$AD$16&amp;"|"&amp;$AF$16&amp;"|"&amp;$AD$18&amp;"|"&amp;$AF$18&amp;"|"&amp;$AD$20&amp;"|"&amp;$AF$20&amp;"|"&amp;$AD$22&amp;"|"&amp;$AF$22&amp;"|"&amp;$AD$24&amp;"|"&amp;$AF$24&amp;"|"&amp;$AD$26&amp;"|"&amp;$AF$26&amp;"|"&amp;$AD$28&amp;"|"&amp;$AF$28&amp;"|","LEEG","##"),AF20,"CONTROLE"))=$AJ$30,"GOED","DUBBEL")))</f>
        <v>LEEG</v>
      </c>
      <c r="AK21" s="141"/>
      <c r="AL21" s="141"/>
      <c r="AM21" s="141"/>
      <c r="AN21" s="141"/>
      <c r="AO21" s="141"/>
      <c r="AP21" s="92"/>
      <c r="AQ21" s="301" t="str">
        <f ca="1">VLOOKUP(AR21,Voorblad!$X$67:$Z$98,2,FALSE)</f>
        <v>Italië</v>
      </c>
      <c r="AR21" s="302" t="str">
        <f>AR18&amp;3</f>
        <v>B3</v>
      </c>
      <c r="AS21" s="301" t="str">
        <f ca="1">IF(AT21=$AR$11,$AQ$11,IF(AT21=$AR$12,$AQ$12,VLOOKUP(AT21,Voorblad!$X$67:$Z$98,2,FALSE)))</f>
        <v>Tsjechië</v>
      </c>
      <c r="AT21" s="302" t="str">
        <f t="shared" ca="1" si="0"/>
        <v>F4</v>
      </c>
      <c r="AU21" s="301" t="str">
        <f ca="1">IF(AV21=$AR$11,$AQ$11,IF(AV21=$AR$12,$AQ$12,VLOOKUP(AV21,Voorblad!$X$67:$Z$98,2,FALSE)))</f>
        <v>Roemenië</v>
      </c>
      <c r="AV21" s="302" t="str">
        <f t="shared" ca="1" si="1"/>
        <v>E3</v>
      </c>
      <c r="AW21" s="301" t="str">
        <f ca="1">IF(AX21=$AR$11,$AQ$11,IF(AX21=$AR$12,$AQ$12,VLOOKUP(AX21,Voorblad!$X$67:$Z$98,2,FALSE)))</f>
        <v>Spanje</v>
      </c>
      <c r="AX21" s="302" t="str">
        <f t="shared" ca="1" si="2"/>
        <v>B1</v>
      </c>
      <c r="AY21" s="301" t="str">
        <f ca="1">IF(AZ21=$AR$11,$AQ$11,IF(AZ21=$AR$12,$AQ$12,VLOOKUP(AZ21,Voorblad!$X$67:$Z$98,2,FALSE)))</f>
        <v>Polen</v>
      </c>
      <c r="AZ21" s="302" t="str">
        <f t="shared" ca="1" si="3"/>
        <v>D1</v>
      </c>
      <c r="BA21" s="709">
        <f t="shared" si="4"/>
        <v>22</v>
      </c>
    </row>
    <row r="22" spans="1:53" ht="15" customHeight="1" x14ac:dyDescent="0.25">
      <c r="A22" s="163"/>
      <c r="B22" s="17"/>
      <c r="C22" s="1049"/>
      <c r="D22" s="6">
        <f>D20+3</f>
        <v>42</v>
      </c>
      <c r="E22" s="11">
        <f>E18+1</f>
        <v>45474.75</v>
      </c>
      <c r="F22" s="135">
        <f>E22+TIME(0,0,0)</f>
        <v>45474.75</v>
      </c>
      <c r="G22" s="1331" t="str">
        <f ca="1">" "&amp;Taal04!$B$75&amp;" D"</f>
        <v xml:space="preserve"> Nr.2 Groep D</v>
      </c>
      <c r="H22" s="1331"/>
      <c r="I22" s="1331"/>
      <c r="J22" s="1331"/>
      <c r="K22" s="1331"/>
      <c r="L22" s="704"/>
      <c r="M22" s="702"/>
      <c r="N22" s="703" t="str">
        <f>IF(AK22="LEEG","▼   ","")&amp;"-  "</f>
        <v xml:space="preserve">▼   -  </v>
      </c>
      <c r="O22" s="1331" t="str">
        <f ca="1">" "&amp;Taal04!$B$75&amp;" E"</f>
        <v xml:space="preserve"> Nr.2 Groep E</v>
      </c>
      <c r="P22" s="1331"/>
      <c r="Q22" s="1331"/>
      <c r="R22" s="1331"/>
      <c r="S22" s="1331"/>
      <c r="T22" s="1331"/>
      <c r="U22" s="704"/>
      <c r="V22" s="703" t="str">
        <f>IF(AL22="LEEG","▼   ","")&amp;": "</f>
        <v xml:space="preserve">▼   : </v>
      </c>
      <c r="W22" s="1316"/>
      <c r="X22" s="1316"/>
      <c r="Y22" s="1316"/>
      <c r="Z22" s="1058"/>
      <c r="AA22" s="17"/>
      <c r="AB22" s="5"/>
      <c r="AC22" s="271" t="str">
        <f>IF(OR(L22="",ISBLANK(L22)),"OO",IF(TYPE(VLOOKUP(L22,Taal02!$C$100:$D$419,2,FALSE))=16,"XX",VLOOKUP(L22,Taal02!$C$100:$D$419,2,FALSE)))</f>
        <v>OO</v>
      </c>
      <c r="AD22" s="219" t="str">
        <f>IF(AC22="OO","LEEG",IF(AC22="XX","FOUT",VLOOKUP(AC22,Voorblad!$X$65:$Z$98,3,FALSE)))</f>
        <v>LEEG</v>
      </c>
      <c r="AE22" s="271" t="str">
        <f>IF(OR(U22="",ISBLANK(U22)),"OO",IF(TYPE(VLOOKUP(U22,Taal02!$C$100:$D$419,2,FALSE))=16,"XX",VLOOKUP(U22,Taal02!$C$100:$D$419,2,FALSE)))</f>
        <v>OO</v>
      </c>
      <c r="AF22" s="219" t="str">
        <f>IF(AE22="OO","LEEG",IF(AE22="XX","FOUT",VLOOKUP(AE22,Voorblad!$X$65:$Z$98,3,FALSE)))</f>
        <v>LEEG</v>
      </c>
      <c r="AG22" s="5"/>
      <c r="AH22" s="10" t="s">
        <v>122</v>
      </c>
      <c r="AI22" s="10" t="s">
        <v>12</v>
      </c>
      <c r="AJ22" s="10" t="s">
        <v>126</v>
      </c>
      <c r="AK22" s="4" t="str">
        <f>IF(AD22="LEEG","LEEG",IF(TYPE(AD22)=2,IF(LEN(AD22)=2,IF(AND($AI$11=0,AH23="DUBBEL"),"ONGELDIG","GOED"),"ONGELDIG"),"ONGELDIG"))</f>
        <v>LEEG</v>
      </c>
      <c r="AL22" s="4" t="str">
        <f>IF(AF22="LEEG","LEEG",IF(TYPE(AF22)=2,IF(LEN(AF22)=2,IF(AND($AI$11=0,AJ23="DUBBEL"),"ONGELDIG","GOED"),"ONGELDIG"),"ONGELDIG"))</f>
        <v>LEEG</v>
      </c>
      <c r="AM22" s="4"/>
      <c r="AN22" s="4" t="str">
        <f>IF(ISBLANK(W22),"LEEG",IF(OR(W22=1,W22=2,W22=3),"GOED","ONGELDIG"))</f>
        <v>LEEG</v>
      </c>
      <c r="AO22" s="139" t="str">
        <f>IF(AK22="GOED",IF(AL22="GOED",IF(AN22="GOED",AD22&amp;AF22&amp;W22&amp;"|","FOUT"),"FOUT"),"FOUT")</f>
        <v>FOUT</v>
      </c>
      <c r="AP22" s="92">
        <f>LEN(AO22)</f>
        <v>4</v>
      </c>
      <c r="AQ22" s="303" t="str">
        <f ca="1">VLOOKUP(AR22,Voorblad!$X$67:$Z$98,2,FALSE)</f>
        <v>Albanië</v>
      </c>
      <c r="AR22" s="305" t="str">
        <f>AR18&amp;4</f>
        <v>B4</v>
      </c>
      <c r="AS22" s="301" t="str">
        <f ca="1">IF(AT22=$AR$11,$AQ$11,IF(AT22=$AR$12,$AQ$12,VLOOKUP(AT22,Voorblad!$X$67:$Z$98,2,FALSE)))</f>
        <v>Turkije</v>
      </c>
      <c r="AT22" s="302" t="str">
        <f t="shared" ca="1" si="0"/>
        <v>F1</v>
      </c>
      <c r="AU22" s="301" t="str">
        <f ca="1">IF(AV22=$AR$11,$AQ$11,IF(AV22=$AR$12,$AQ$12,VLOOKUP(AV22,Voorblad!$X$67:$Z$98,2,FALSE)))</f>
        <v>Schotland</v>
      </c>
      <c r="AV22" s="302" t="str">
        <f t="shared" ca="1" si="1"/>
        <v>A2</v>
      </c>
      <c r="AW22" s="301" t="str">
        <f ca="1">IF(AX22=$AR$11,$AQ$11,IF(AX22=$AR$12,$AQ$12,VLOOKUP(AX22,Voorblad!$X$67:$Z$98,2,FALSE)))</f>
        <v>Zwitserland</v>
      </c>
      <c r="AX22" s="302" t="str">
        <f t="shared" ca="1" si="2"/>
        <v>A4</v>
      </c>
      <c r="AY22" s="301" t="str">
        <f ca="1">IF(AZ22=$AR$11,$AQ$11,IF(AZ22=$AR$12,$AQ$12,VLOOKUP(AZ22,Voorblad!$X$67:$Z$98,2,FALSE)))</f>
        <v>Schotland</v>
      </c>
      <c r="AZ22" s="302" t="str">
        <f t="shared" ca="1" si="3"/>
        <v>A2</v>
      </c>
      <c r="BA22" s="709">
        <f t="shared" si="4"/>
        <v>24</v>
      </c>
    </row>
    <row r="23" spans="1:53" ht="18.95" customHeight="1" x14ac:dyDescent="0.25">
      <c r="A23" s="163"/>
      <c r="B23" s="17"/>
      <c r="C23" s="1049"/>
      <c r="D23" s="17"/>
      <c r="E23" s="17"/>
      <c r="F23" s="17"/>
      <c r="G23" s="1325" t="str">
        <f ca="1">IF($AB$9=1," "&amp;AC23,IF($AB$9=2,IF(AC22="OO"," "&amp;AC23,""),""))</f>
        <v xml:space="preserve"> </v>
      </c>
      <c r="H23" s="1325"/>
      <c r="I23" s="1325"/>
      <c r="J23" s="1325"/>
      <c r="K23" s="1325"/>
      <c r="L23" s="1325"/>
      <c r="M23" s="17"/>
      <c r="N23" s="17"/>
      <c r="O23" s="1325" t="str">
        <f ca="1">IF($AB$9=1," "&amp;AE23,IF($AB$9=2,IF(AE22="OO"," "&amp;AE23,""),""))</f>
        <v xml:space="preserve"> </v>
      </c>
      <c r="P23" s="1325"/>
      <c r="Q23" s="1325"/>
      <c r="R23" s="1325"/>
      <c r="S23" s="1325"/>
      <c r="T23" s="1325"/>
      <c r="U23" s="1325"/>
      <c r="V23" s="17"/>
      <c r="W23" s="17"/>
      <c r="X23" s="17"/>
      <c r="Y23" s="17"/>
      <c r="Z23" s="1058"/>
      <c r="AA23" s="17"/>
      <c r="AB23" s="5"/>
      <c r="AC23" s="1326" t="str">
        <f ca="1">AM90</f>
        <v/>
      </c>
      <c r="AD23" s="1326"/>
      <c r="AE23" s="1326" t="str">
        <f ca="1">AO90</f>
        <v/>
      </c>
      <c r="AF23" s="1326"/>
      <c r="AG23" s="755" t="str">
        <f>IF(AO22="FOUT","",IF(W22=1,AC22,IF(W22=2,AE22,AC22&amp;AE22)))</f>
        <v/>
      </c>
      <c r="AH23" s="449" t="str">
        <f>IF(AD22="LEEG","LEEG",IF(AD22= "FOUT","ONGELDIG",IF(LEN(SUBSTITUTE(SUBSTITUTE("|"&amp;$AD$14&amp;"|"&amp;$AF$14&amp;"|"&amp;$AD$16&amp;"|"&amp;$AF$16&amp;"|"&amp;$AD$18&amp;"|"&amp;$AF$18&amp;"|"&amp;$AD$20&amp;"|"&amp;$AF$20&amp;"|"&amp;$AD$22&amp;"|"&amp;$AF$22&amp;"|"&amp;$AD$24&amp;"|"&amp;$AF$24&amp;"|"&amp;$AD$26&amp;"|"&amp;$AF$26&amp;"|"&amp;$AD$28&amp;"|"&amp;$AF$28&amp;"|","LEEG","##"),AD22,"CONTROLE"))=$AJ$30,"GOED","DUBBEL")))</f>
        <v>LEEG</v>
      </c>
      <c r="AI23" s="5"/>
      <c r="AJ23" s="449" t="str">
        <f>IF(AF22="LEEG","LEEG",IF(AF22= "FOUT","ONGELDIG",IF(LEN(SUBSTITUTE(SUBSTITUTE("|"&amp;$AD$14&amp;"|"&amp;$AF$14&amp;"|"&amp;$AD$16&amp;"|"&amp;$AF$16&amp;"|"&amp;$AD$18&amp;"|"&amp;$AF$18&amp;"|"&amp;$AD$20&amp;"|"&amp;$AF$20&amp;"|"&amp;$AD$22&amp;"|"&amp;$AF$22&amp;"|"&amp;$AD$24&amp;"|"&amp;$AF$24&amp;"|"&amp;$AD$26&amp;"|"&amp;$AF$26&amp;"|"&amp;$AD$28&amp;"|"&amp;$AF$28&amp;"|","LEEG","##"),AF22,"CONTROLE"))=$AJ$30,"GOED","DUBBEL")))</f>
        <v>LEEG</v>
      </c>
      <c r="AK23" s="4"/>
      <c r="AL23" s="4"/>
      <c r="AM23" s="4"/>
      <c r="AN23" s="4"/>
      <c r="AO23" s="139"/>
      <c r="AP23" s="92"/>
      <c r="AQ23" s="297"/>
      <c r="AR23" s="299" t="s">
        <v>4</v>
      </c>
      <c r="AS23" s="301" t="str">
        <f ca="1">IF(AT23=$AR$11,$AQ$11,IF(AT23=$AR$12,$AQ$12,VLOOKUP(AT23,Voorblad!$X$67:$Z$98,2,FALSE)))</f>
        <v/>
      </c>
      <c r="AT23" s="302" t="str">
        <f t="shared" ca="1" si="0"/>
        <v>??</v>
      </c>
      <c r="AU23" s="301" t="str">
        <f ca="1">IF(AV23=$AR$11,$AQ$11,IF(AV23=$AR$12,$AQ$12,VLOOKUP(AV23,Voorblad!$X$67:$Z$98,2,FALSE)))</f>
        <v>Slowakije</v>
      </c>
      <c r="AV23" s="302" t="str">
        <f t="shared" ca="1" si="1"/>
        <v>E2</v>
      </c>
      <c r="AW23" s="301" t="str">
        <f ca="1">IF(AX23=$AR$11,$AQ$11,IF(AX23=$AR$12,$AQ$12,VLOOKUP(AX23,Voorblad!$X$67:$Z$98,2,FALSE)))</f>
        <v/>
      </c>
      <c r="AX23" s="302" t="str">
        <f t="shared" ca="1" si="2"/>
        <v>??</v>
      </c>
      <c r="AY23" s="301" t="str">
        <f ca="1">IF(AZ23=$AR$11,$AQ$11,IF(AZ23=$AR$12,$AQ$12,VLOOKUP(AZ23,Voorblad!$X$67:$Z$98,2,FALSE)))</f>
        <v>Servië</v>
      </c>
      <c r="AZ23" s="302" t="str">
        <f t="shared" ca="1" si="3"/>
        <v>C3</v>
      </c>
      <c r="BA23" s="302">
        <f t="shared" si="4"/>
        <v>26</v>
      </c>
    </row>
    <row r="24" spans="1:53" ht="15" customHeight="1" x14ac:dyDescent="0.25">
      <c r="A24" s="163"/>
      <c r="B24" s="17"/>
      <c r="C24" s="1049"/>
      <c r="D24" s="6">
        <f>D22-1</f>
        <v>41</v>
      </c>
      <c r="E24" s="11">
        <f>E20+1</f>
        <v>45474.875</v>
      </c>
      <c r="F24" s="135">
        <f>E24+TIME(0,0,0)</f>
        <v>45474.875</v>
      </c>
      <c r="G24" s="1331" t="str">
        <f ca="1">" "&amp;Taal04!$B$74&amp;" F"</f>
        <v xml:space="preserve"> Nr.1 Groep F</v>
      </c>
      <c r="H24" s="1331"/>
      <c r="I24" s="1331"/>
      <c r="J24" s="1331"/>
      <c r="K24" s="1331"/>
      <c r="L24" s="704"/>
      <c r="M24" s="702"/>
      <c r="N24" s="703" t="str">
        <f>IF(AK24="LEEG","▼   ","")&amp;"-  "</f>
        <v xml:space="preserve">▼   -  </v>
      </c>
      <c r="O24" s="1331" t="str">
        <f ca="1">" "&amp;Taal04!$B$76&amp;" A/B/C"</f>
        <v xml:space="preserve"> Nr.3 Groep A/B/C</v>
      </c>
      <c r="P24" s="1331"/>
      <c r="Q24" s="1331"/>
      <c r="R24" s="1331"/>
      <c r="S24" s="1331"/>
      <c r="T24" s="1331"/>
      <c r="U24" s="705"/>
      <c r="V24" s="703" t="str">
        <f>IF(AL24="LEEG","▼   ","")&amp;": "</f>
        <v xml:space="preserve">▼   : </v>
      </c>
      <c r="W24" s="1316"/>
      <c r="X24" s="1316"/>
      <c r="Y24" s="1316"/>
      <c r="Z24" s="1058"/>
      <c r="AA24" s="17"/>
      <c r="AB24" s="5"/>
      <c r="AC24" s="271" t="str">
        <f>IF(OR(L24="",ISBLANK(L24)),"OO",IF(TYPE(VLOOKUP(L24,Taal02!$C$100:$D$419,2,FALSE))=16,"XX",VLOOKUP(L24,Taal02!$C$100:$D$419,2,FALSE)))</f>
        <v>OO</v>
      </c>
      <c r="AD24" s="219" t="str">
        <f>IF(AC24="OO","LEEG",IF(AC24="XX","FOUT",VLOOKUP(AC24,Voorblad!$X$65:$Z$98,3,FALSE)))</f>
        <v>LEEG</v>
      </c>
      <c r="AE24" s="271" t="str">
        <f>IF(OR(U24="",ISBLANK(U24)),"OO",IF(TYPE(VLOOKUP(U24,Taal02!$C$100:$D$419,2,FALSE))=16,"XX",VLOOKUP(U24,Taal02!$C$100:$D$419,2,FALSE)))</f>
        <v>OO</v>
      </c>
      <c r="AF24" s="219" t="str">
        <f>IF(AE24="OO","LEEG",IF(AE24="XX","FOUT",VLOOKUP(AE24,Voorblad!$X$65:$Z$98,3,FALSE)))</f>
        <v>LEEG</v>
      </c>
      <c r="AG24" s="5"/>
      <c r="AH24" s="10" t="s">
        <v>130</v>
      </c>
      <c r="AI24" s="10" t="s">
        <v>12</v>
      </c>
      <c r="AJ24" s="10" t="s">
        <v>2591</v>
      </c>
      <c r="AK24" s="4" t="str">
        <f>IF(AD24="LEEG","LEEG",IF(TYPE(AD24)=2,IF(LEN(AD24)=2,IF(AND($AI$11=0,AH25="DUBBEL"),"ONGELDIG","GOED"),"ONGELDIG"),"ONGELDIG"))</f>
        <v>LEEG</v>
      </c>
      <c r="AL24" s="4" t="str">
        <f>IF(AF24="LEEG","LEEG",IF(TYPE(AF24)=2,IF(LEN(AF24)=2,IF(AND($AI$11=0,AJ25="DUBBEL"),"ONGELDIG","GOED"),"ONGELDIG"),"ONGELDIG"))</f>
        <v>LEEG</v>
      </c>
      <c r="AM24" s="4"/>
      <c r="AN24" s="4" t="str">
        <f>IF(ISBLANK(W24),"LEEG",IF(OR(W24=1,W24=2,W24=3),"GOED","ONGELDIG"))</f>
        <v>LEEG</v>
      </c>
      <c r="AO24" s="139" t="str">
        <f>IF(AK24="GOED",IF(AL24="GOED",IF(AN24="GOED",AD24&amp;AF24&amp;W24&amp;"|","FOUT"),"FOUT"),"FOUT")</f>
        <v>FOUT</v>
      </c>
      <c r="AP24" s="92">
        <f>LEN(AO24)</f>
        <v>4</v>
      </c>
      <c r="AQ24" s="301" t="str">
        <f ca="1">VLOOKUP(AR24,Voorblad!$X$67:$Z$98,2,FALSE)</f>
        <v>Slovenië</v>
      </c>
      <c r="AR24" s="302" t="str">
        <f>AR23&amp;1</f>
        <v>C1</v>
      </c>
      <c r="AS24" s="301" t="str">
        <f ca="1">IF(AT24=$AR$11,$AQ$11,IF(AT24=$AR$12,$AQ$12,VLOOKUP(AT24,Voorblad!$X$67:$Z$98,2,FALSE)))</f>
        <v/>
      </c>
      <c r="AT24" s="302" t="str">
        <f t="shared" ca="1" si="0"/>
        <v>??</v>
      </c>
      <c r="AU24" s="301" t="str">
        <f ca="1">IF(AV24=$AR$11,$AQ$11,IF(AV24=$AR$12,$AQ$12,VLOOKUP(AV24,Voorblad!$X$67:$Z$98,2,FALSE)))</f>
        <v>Tsjechië</v>
      </c>
      <c r="AV24" s="302" t="str">
        <f t="shared" ca="1" si="1"/>
        <v>F4</v>
      </c>
      <c r="AW24" s="301" t="str">
        <f ca="1">IF(AX24=$AR$11,$AQ$11,IF(AX24=$AR$12,$AQ$12,VLOOKUP(AX24,Voorblad!$X$67:$Z$98,2,FALSE)))</f>
        <v/>
      </c>
      <c r="AX24" s="302" t="str">
        <f t="shared" ca="1" si="2"/>
        <v>??</v>
      </c>
      <c r="AY24" s="301" t="str">
        <f ca="1">IF(AZ24=$AR$11,$AQ$11,IF(AZ24=$AR$12,$AQ$12,VLOOKUP(AZ24,Voorblad!$X$67:$Z$98,2,FALSE)))</f>
        <v>Slovenië</v>
      </c>
      <c r="AZ24" s="302" t="str">
        <f ca="1">RIGHT(LEFT($AL$92,$BA24),2)</f>
        <v>C1</v>
      </c>
      <c r="BA24" s="302">
        <f t="shared" si="4"/>
        <v>28</v>
      </c>
    </row>
    <row r="25" spans="1:53" ht="18.95" customHeight="1" x14ac:dyDescent="0.25">
      <c r="A25" s="163"/>
      <c r="B25" s="17"/>
      <c r="C25" s="1049"/>
      <c r="D25" s="17"/>
      <c r="E25" s="17"/>
      <c r="F25" s="17"/>
      <c r="G25" s="1325" t="str">
        <f ca="1">IF($AB$9=1," "&amp;AC25,IF($AB$9=2,IF(AC24="OO"," "&amp;AC25,""),""))</f>
        <v xml:space="preserve"> </v>
      </c>
      <c r="H25" s="1325"/>
      <c r="I25" s="1325"/>
      <c r="J25" s="1325"/>
      <c r="K25" s="1325"/>
      <c r="L25" s="1325"/>
      <c r="M25" s="17"/>
      <c r="N25" s="17"/>
      <c r="O25" s="1325" t="str">
        <f ca="1">IF($AB$9=1," "&amp;AE25,IF($AB$9=2,IF(AE24="OO"," "&amp;AE25,""),""))</f>
        <v xml:space="preserve"> </v>
      </c>
      <c r="P25" s="1325"/>
      <c r="Q25" s="1325"/>
      <c r="R25" s="1325"/>
      <c r="S25" s="1325"/>
      <c r="T25" s="1325"/>
      <c r="U25" s="1325"/>
      <c r="V25" s="17"/>
      <c r="W25" s="17"/>
      <c r="X25" s="17"/>
      <c r="Y25" s="17"/>
      <c r="Z25" s="1058"/>
      <c r="AA25" s="17"/>
      <c r="AB25" s="5"/>
      <c r="AC25" s="1326" t="str">
        <f ca="1">AM91</f>
        <v/>
      </c>
      <c r="AD25" s="1326"/>
      <c r="AE25" s="1326" t="str">
        <f ca="1">AO91</f>
        <v/>
      </c>
      <c r="AF25" s="1326"/>
      <c r="AG25" s="755" t="str">
        <f>IF(AO24="FOUT","",IF(W24=1,AC24,IF(W24=2,AE24,AC24&amp;AE24)))</f>
        <v/>
      </c>
      <c r="AH25" s="449" t="str">
        <f>IF(AD24="LEEG","LEEG",IF(AD24= "FOUT","ONGELDIG",IF(LEN(SUBSTITUTE(SUBSTITUTE("|"&amp;$AD$14&amp;"|"&amp;$AF$14&amp;"|"&amp;$AD$16&amp;"|"&amp;$AF$16&amp;"|"&amp;$AD$18&amp;"|"&amp;$AF$18&amp;"|"&amp;$AD$20&amp;"|"&amp;$AF$20&amp;"|"&amp;$AD$22&amp;"|"&amp;$AF$22&amp;"|"&amp;$AD$24&amp;"|"&amp;$AF$24&amp;"|"&amp;$AD$26&amp;"|"&amp;$AF$26&amp;"|"&amp;$AD$28&amp;"|"&amp;$AF$28&amp;"|","LEEG","##"),AD24,"CONTROLE"))=$AJ$30,"GOED","DUBBEL")))</f>
        <v>LEEG</v>
      </c>
      <c r="AI25" s="5"/>
      <c r="AJ25" s="449" t="str">
        <f>IF(AF24="LEEG","LEEG",IF(AF24= "FOUT","ONGELDIG",IF(LEN(SUBSTITUTE(SUBSTITUTE("|"&amp;$AD$14&amp;"|"&amp;$AF$14&amp;"|"&amp;$AD$16&amp;"|"&amp;$AF$16&amp;"|"&amp;$AD$18&amp;"|"&amp;$AF$18&amp;"|"&amp;$AD$20&amp;"|"&amp;$AF$20&amp;"|"&amp;$AD$22&amp;"|"&amp;$AF$22&amp;"|"&amp;$AD$24&amp;"|"&amp;$AF$24&amp;"|"&amp;$AD$26&amp;"|"&amp;$AF$26&amp;"|"&amp;$AD$28&amp;"|"&amp;$AF$28&amp;"|","LEEG","##"),AF24,"CONTROLE"))=$AJ$30,"GOED","DUBBEL")))</f>
        <v>LEEG</v>
      </c>
      <c r="AK25" s="4"/>
      <c r="AL25" s="4"/>
      <c r="AM25" s="4"/>
      <c r="AN25" s="4"/>
      <c r="AO25" s="139"/>
      <c r="AP25" s="92"/>
      <c r="AQ25" s="301" t="str">
        <f ca="1">VLOOKUP(AR25,Voorblad!$X$67:$Z$98,2,FALSE)</f>
        <v>Denemarken</v>
      </c>
      <c r="AR25" s="302" t="str">
        <f>AR23&amp;2</f>
        <v>C2</v>
      </c>
      <c r="AS25" s="301" t="str">
        <f ca="1">IF(AT25=$AR$11,$AQ$11,IF(AT25=$AR$12,$AQ$12,VLOOKUP(AT25,Voorblad!$X$67:$Z$98,2,FALSE)))</f>
        <v/>
      </c>
      <c r="AT25" s="302" t="str">
        <f t="shared" ca="1" si="0"/>
        <v>??</v>
      </c>
      <c r="AU25" s="301" t="str">
        <f ca="1">IF(AV25=$AR$11,$AQ$11,IF(AV25=$AR$12,$AQ$12,VLOOKUP(AV25,Voorblad!$X$67:$Z$98,2,FALSE)))</f>
        <v>Turkije</v>
      </c>
      <c r="AV25" s="302" t="str">
        <f t="shared" ca="1" si="1"/>
        <v>F1</v>
      </c>
      <c r="AW25" s="301" t="str">
        <f ca="1">IF(AX25=$AR$11,$AQ$11,IF(AX25=$AR$12,$AQ$12,VLOOKUP(AX25,Voorblad!$X$67:$Z$98,2,FALSE)))</f>
        <v/>
      </c>
      <c r="AX25" s="302" t="str">
        <f t="shared" ca="1" si="2"/>
        <v>??</v>
      </c>
      <c r="AY25" s="301" t="str">
        <f ca="1">IF(AZ25=$AR$11,$AQ$11,IF(AZ25=$AR$12,$AQ$12,VLOOKUP(AZ25,Voorblad!$X$67:$Z$98,2,FALSE)))</f>
        <v>Spanje</v>
      </c>
      <c r="AZ25" s="302" t="str">
        <f ca="1">RIGHT(LEFT($AL$92,$BA25),2)</f>
        <v>B1</v>
      </c>
      <c r="BA25" s="302">
        <f t="shared" si="4"/>
        <v>30</v>
      </c>
    </row>
    <row r="26" spans="1:53" ht="15" customHeight="1" x14ac:dyDescent="0.25">
      <c r="A26" s="163"/>
      <c r="B26" s="17"/>
      <c r="C26" s="1049"/>
      <c r="D26" s="6">
        <f>D24+2</f>
        <v>43</v>
      </c>
      <c r="E26" s="11">
        <f>E22+1</f>
        <v>45475.75</v>
      </c>
      <c r="F26" s="135">
        <f>E26+TIME(0,0,0)</f>
        <v>45475.75</v>
      </c>
      <c r="G26" s="1331" t="str">
        <f ca="1">" "&amp;Taal04!$B$74&amp;" E"</f>
        <v xml:space="preserve"> Nr.1 Groep E</v>
      </c>
      <c r="H26" s="1331"/>
      <c r="I26" s="1331"/>
      <c r="J26" s="1331"/>
      <c r="K26" s="1331"/>
      <c r="L26" s="704"/>
      <c r="M26" s="702"/>
      <c r="N26" s="703" t="str">
        <f>IF(AK26="LEEG","▼   ","")&amp;"-  "</f>
        <v xml:space="preserve">▼   -  </v>
      </c>
      <c r="O26" s="1331" t="str">
        <f ca="1">" "&amp;Taal04!$B$76&amp;" A/B/C/D"</f>
        <v xml:space="preserve"> Nr.3 Groep A/B/C/D</v>
      </c>
      <c r="P26" s="1331"/>
      <c r="Q26" s="1331"/>
      <c r="R26" s="1331"/>
      <c r="S26" s="1331"/>
      <c r="T26" s="1331"/>
      <c r="U26" s="704"/>
      <c r="V26" s="703" t="str">
        <f>IF(AL26="LEEG","▼   ","")&amp;": "</f>
        <v xml:space="preserve">▼   : </v>
      </c>
      <c r="W26" s="1316"/>
      <c r="X26" s="1316"/>
      <c r="Y26" s="1316"/>
      <c r="Z26" s="1058"/>
      <c r="AA26" s="17"/>
      <c r="AB26" s="5"/>
      <c r="AC26" s="271" t="str">
        <f>IF(OR(L26="",ISBLANK(L26)),"OO",IF(TYPE(VLOOKUP(L26,Taal02!$C$100:$D$419,2,FALSE))=16,"XX",VLOOKUP(L26,Taal02!$C$100:$D$419,2,FALSE)))</f>
        <v>OO</v>
      </c>
      <c r="AD26" s="219" t="str">
        <f>IF(AC26="OO","LEEG",IF(AC26="XX","FOUT",VLOOKUP(AC26,Voorblad!$X$65:$Z$98,3,FALSE)))</f>
        <v>LEEG</v>
      </c>
      <c r="AE26" s="271" t="str">
        <f>IF(OR(U26="",ISBLANK(U26)),"OO",IF(TYPE(VLOOKUP(U26,Taal02!$C$100:$D$419,2,FALSE))=16,"XX",VLOOKUP(U26,Taal02!$C$100:$D$419,2,FALSE)))</f>
        <v>OO</v>
      </c>
      <c r="AF26" s="219" t="str">
        <f>IF(AE26="OO","LEEG",IF(AE26="XX","FOUT",VLOOKUP(AE26,Voorblad!$X$65:$Z$98,3,FALSE)))</f>
        <v>LEEG</v>
      </c>
      <c r="AG26" s="5"/>
      <c r="AH26" s="10" t="s">
        <v>125</v>
      </c>
      <c r="AI26" s="10" t="s">
        <v>12</v>
      </c>
      <c r="AJ26" s="10" t="s">
        <v>2592</v>
      </c>
      <c r="AK26" s="4" t="str">
        <f>IF(AD26="LEEG","LEEG",IF(TYPE(AD26)=2,IF(LEN(AD26)=2,IF(AND($AI$11=0,AH27="DUBBEL"),"ONGELDIG","GOED"),"ONGELDIG"),"ONGELDIG"))</f>
        <v>LEEG</v>
      </c>
      <c r="AL26" s="4" t="str">
        <f>IF(AF26="LEEG","LEEG",IF(TYPE(AF26)=2,IF(LEN(AF26)=2,IF(AND($AI$11=0,AJ27="DUBBEL"),"ONGELDIG","GOED"),"ONGELDIG"),"ONGELDIG"))</f>
        <v>LEEG</v>
      </c>
      <c r="AM26" s="4"/>
      <c r="AN26" s="4" t="str">
        <f>IF(ISBLANK(W26),"LEEG",IF(OR(W26=1,W26=2,W26=3),"GOED","ONGELDIG"))</f>
        <v>LEEG</v>
      </c>
      <c r="AO26" s="139" t="str">
        <f>IF(AK26="GOED",IF(AL26="GOED",IF(AN26="GOED",AD26&amp;AF26&amp;W26&amp;"|","FOUT"),"FOUT"),"FOUT")</f>
        <v>FOUT</v>
      </c>
      <c r="AP26" s="92">
        <f>LEN(AO26)</f>
        <v>4</v>
      </c>
      <c r="AQ26" s="301" t="str">
        <f ca="1">VLOOKUP(AR26,Voorblad!$X$67:$Z$98,2,FALSE)</f>
        <v>Servië</v>
      </c>
      <c r="AR26" s="302" t="str">
        <f>AR23&amp;3</f>
        <v>C3</v>
      </c>
      <c r="AS26" s="301" t="str">
        <f ca="1">IF(AT26=$AR$11,$AQ$11,IF(AT26=$AR$12,$AQ$12,VLOOKUP(AT26,Voorblad!$X$67:$Z$98,2,FALSE)))</f>
        <v/>
      </c>
      <c r="AT26" s="302" t="str">
        <f t="shared" ca="1" si="0"/>
        <v>??</v>
      </c>
      <c r="AU26" s="301" t="str">
        <f ca="1">IF(AV26=$AR$11,$AQ$11,IF(AV26=$AR$12,$AQ$12,VLOOKUP(AV26,Voorblad!$X$67:$Z$98,2,FALSE)))</f>
        <v>Zwitserland</v>
      </c>
      <c r="AV26" s="302" t="str">
        <f t="shared" ca="1" si="1"/>
        <v>A4</v>
      </c>
      <c r="AW26" s="301" t="str">
        <f ca="1">IF(AX26=$AR$11,$AQ$11,IF(AX26=$AR$12,$AQ$12,VLOOKUP(AX26,Voorblad!$X$67:$Z$98,2,FALSE)))</f>
        <v/>
      </c>
      <c r="AX26" s="302" t="str">
        <f t="shared" ca="1" si="2"/>
        <v>??</v>
      </c>
      <c r="AY26" s="301" t="str">
        <f ca="1">IF(AZ26=$AR$11,$AQ$11,IF(AZ26=$AR$12,$AQ$12,VLOOKUP(AZ26,Voorblad!$X$67:$Z$98,2,FALSE)))</f>
        <v>Zwitserland</v>
      </c>
      <c r="AZ26" s="302" t="str">
        <f ca="1">RIGHT(LEFT($AL$92,$BA26),2)</f>
        <v>A4</v>
      </c>
      <c r="BA26" s="709">
        <f t="shared" si="4"/>
        <v>32</v>
      </c>
    </row>
    <row r="27" spans="1:53" ht="18.95" customHeight="1" x14ac:dyDescent="0.25">
      <c r="A27" s="163"/>
      <c r="B27" s="17"/>
      <c r="C27" s="1049"/>
      <c r="D27" s="17"/>
      <c r="E27" s="17"/>
      <c r="F27" s="17"/>
      <c r="G27" s="1325" t="str">
        <f ca="1">IF($AB$9=1," "&amp;AC27,IF($AB$9=2,IF(AC26="OO"," "&amp;AC27,""),""))</f>
        <v xml:space="preserve"> </v>
      </c>
      <c r="H27" s="1325"/>
      <c r="I27" s="1325"/>
      <c r="J27" s="1325"/>
      <c r="K27" s="1325"/>
      <c r="L27" s="1325"/>
      <c r="M27" s="17"/>
      <c r="N27" s="17"/>
      <c r="O27" s="1325" t="str">
        <f ca="1">IF($AB$9=1," "&amp;AE27,IF($AB$9=2,IF(AE26="OO"," "&amp;AE27,""),""))</f>
        <v xml:space="preserve"> </v>
      </c>
      <c r="P27" s="1325"/>
      <c r="Q27" s="1325"/>
      <c r="R27" s="1325"/>
      <c r="S27" s="1325"/>
      <c r="T27" s="1325"/>
      <c r="U27" s="1325"/>
      <c r="V27" s="17"/>
      <c r="W27" s="17"/>
      <c r="X27" s="17"/>
      <c r="Y27" s="17"/>
      <c r="Z27" s="1058"/>
      <c r="AA27" s="17"/>
      <c r="AB27" s="5"/>
      <c r="AC27" s="1326" t="str">
        <f ca="1">AM92</f>
        <v/>
      </c>
      <c r="AD27" s="1326"/>
      <c r="AE27" s="1326" t="str">
        <f ca="1">AO92</f>
        <v/>
      </c>
      <c r="AF27" s="1326"/>
      <c r="AG27" s="755" t="str">
        <f>IF(AO26="FOUT","",IF(W26=1,AC26,IF(W26=2,AE26,AC26&amp;AE26)))</f>
        <v/>
      </c>
      <c r="AH27" s="449" t="str">
        <f>IF(AD26="LEEG","LEEG",IF(AD26= "FOUT","ONGELDIG",IF(LEN(SUBSTITUTE(SUBSTITUTE("|"&amp;$AD$14&amp;"|"&amp;$AF$14&amp;"|"&amp;$AD$16&amp;"|"&amp;$AF$16&amp;"|"&amp;$AD$18&amp;"|"&amp;$AF$18&amp;"|"&amp;$AD$20&amp;"|"&amp;$AF$20&amp;"|"&amp;$AD$22&amp;"|"&amp;$AF$22&amp;"|"&amp;$AD$24&amp;"|"&amp;$AF$24&amp;"|"&amp;$AD$26&amp;"|"&amp;$AF$26&amp;"|"&amp;$AD$28&amp;"|"&amp;$AF$28&amp;"|","LEEG","##"),AD26,"CONTROLE"))=$AJ$30,"GOED","DUBBEL")))</f>
        <v>LEEG</v>
      </c>
      <c r="AI27" s="5"/>
      <c r="AJ27" s="449" t="str">
        <f>IF(AF26="LEEG","LEEG",IF(AF26= "FOUT","ONGELDIG",IF(LEN(SUBSTITUTE(SUBSTITUTE("|"&amp;$AD$14&amp;"|"&amp;$AF$14&amp;"|"&amp;$AD$16&amp;"|"&amp;$AF$16&amp;"|"&amp;$AD$18&amp;"|"&amp;$AF$18&amp;"|"&amp;$AD$20&amp;"|"&amp;$AF$20&amp;"|"&amp;$AD$22&amp;"|"&amp;$AF$22&amp;"|"&amp;$AD$24&amp;"|"&amp;$AF$24&amp;"|"&amp;$AD$26&amp;"|"&amp;$AF$26&amp;"|"&amp;$AD$28&amp;"|"&amp;$AF$28&amp;"|","LEEG","##"),AF26,"CONTROLE"))=$AJ$30,"GOED","DUBBEL")))</f>
        <v>LEEG</v>
      </c>
      <c r="AK27" s="4"/>
      <c r="AL27" s="4"/>
      <c r="AM27" s="4"/>
      <c r="AN27" s="4"/>
      <c r="AO27" s="139"/>
      <c r="AP27" s="92"/>
      <c r="AQ27" s="303" t="str">
        <f ca="1">VLOOKUP(AR27,Voorblad!$X$67:$Z$98,2,FALSE)</f>
        <v>Engeland</v>
      </c>
      <c r="AR27" s="305" t="str">
        <f>AR23&amp;4</f>
        <v>C4</v>
      </c>
      <c r="AS27" s="301" t="str">
        <f ca="1">IF(AT27=$AR$11,$AQ$11,IF(AT27=$AR$12,$AQ$12,VLOOKUP(AT27,Voorblad!$X$67:$Z$98,2,FALSE)))</f>
        <v/>
      </c>
      <c r="AT27" s="302" t="str">
        <f t="shared" ca="1" si="0"/>
        <v>??</v>
      </c>
      <c r="AU27" s="301" t="str">
        <f ca="1">IF(AV27=$AR$11,$AQ$11,IF(AV27=$AR$12,$AQ$12,VLOOKUP(AV27,Voorblad!$X$67:$Z$98,2,FALSE)))</f>
        <v/>
      </c>
      <c r="AV27" s="302" t="str">
        <f t="shared" ca="1" si="1"/>
        <v>??</v>
      </c>
      <c r="AW27" s="301" t="str">
        <f ca="1">IF(AX27=$AR$11,$AQ$11,IF(AX27=$AR$12,$AQ$12,VLOOKUP(AX27,Voorblad!$X$67:$Z$98,2,FALSE)))</f>
        <v/>
      </c>
      <c r="AX27" s="302" t="str">
        <f t="shared" ca="1" si="2"/>
        <v>??</v>
      </c>
      <c r="AY27" s="301" t="str">
        <f ca="1">IF(AZ27=$AR$11,$AQ$11,IF(AZ27=$AR$12,$AQ$12,VLOOKUP(AZ27,Voorblad!$X$67:$Z$98,2,FALSE)))</f>
        <v/>
      </c>
      <c r="AZ27" s="302" t="str">
        <f ca="1">RIGHT(LEFT($AL$92,$BA27),2)</f>
        <v>??</v>
      </c>
      <c r="BA27" s="915">
        <f t="shared" si="4"/>
        <v>34</v>
      </c>
    </row>
    <row r="28" spans="1:53" ht="15" customHeight="1" x14ac:dyDescent="0.25">
      <c r="A28" s="163"/>
      <c r="B28" s="17"/>
      <c r="C28" s="1049"/>
      <c r="D28" s="6">
        <f>D26+1</f>
        <v>44</v>
      </c>
      <c r="E28" s="11">
        <f>E24+1</f>
        <v>45475.875</v>
      </c>
      <c r="F28" s="135">
        <f>E28+TIME(0,0,0)</f>
        <v>45475.875</v>
      </c>
      <c r="G28" s="1331" t="str">
        <f ca="1">" "&amp;Taal04!$B$74&amp;" D"</f>
        <v xml:space="preserve"> Nr.1 Groep D</v>
      </c>
      <c r="H28" s="1331"/>
      <c r="I28" s="1331"/>
      <c r="J28" s="1331"/>
      <c r="K28" s="1331"/>
      <c r="L28" s="704"/>
      <c r="M28" s="702"/>
      <c r="N28" s="703" t="str">
        <f>IF(AK28="LEEG","▼   ","")&amp;"-  "</f>
        <v xml:space="preserve">▼   -  </v>
      </c>
      <c r="O28" s="1331" t="str">
        <f ca="1">" "&amp;Taal04!$B$75&amp;" F"</f>
        <v xml:space="preserve"> Nr.2 Groep F</v>
      </c>
      <c r="P28" s="1331"/>
      <c r="Q28" s="1331"/>
      <c r="R28" s="1331"/>
      <c r="S28" s="1331"/>
      <c r="T28" s="1331"/>
      <c r="U28" s="705"/>
      <c r="V28" s="703" t="str">
        <f>IF(AL28="LEEG","▼   ","")&amp;": "</f>
        <v xml:space="preserve">▼   : </v>
      </c>
      <c r="W28" s="1316"/>
      <c r="X28" s="1316"/>
      <c r="Y28" s="1316"/>
      <c r="Z28" s="1058"/>
      <c r="AA28" s="17"/>
      <c r="AB28" s="5"/>
      <c r="AC28" s="271" t="str">
        <f>IF(OR(L28="",ISBLANK(L28)),"OO",IF(TYPE(VLOOKUP(L28,Taal02!$C$100:$D$419,2,FALSE))=16,"XX",VLOOKUP(L28,Taal02!$C$100:$D$419,2,FALSE)))</f>
        <v>OO</v>
      </c>
      <c r="AD28" s="219" t="str">
        <f>IF(AC28="OO","LEEG",IF(AC28="XX","FOUT",VLOOKUP(AC28,Voorblad!$X$65:$Z$98,3,FALSE)))</f>
        <v>LEEG</v>
      </c>
      <c r="AE28" s="271" t="str">
        <f>IF(OR(U28="",ISBLANK(U28)),"OO",IF(TYPE(VLOOKUP(U28,Taal02!$C$100:$D$419,2,FALSE))=16,"XX",VLOOKUP(U28,Taal02!$C$100:$D$419,2,FALSE)))</f>
        <v>OO</v>
      </c>
      <c r="AF28" s="219" t="str">
        <f>IF(AE28="OO","LEEG",IF(AE28="XX","FOUT",VLOOKUP(AE28,Voorblad!$X$65:$Z$98,3,FALSE)))</f>
        <v>LEEG</v>
      </c>
      <c r="AG28" s="5"/>
      <c r="AH28" s="10" t="s">
        <v>121</v>
      </c>
      <c r="AI28" s="10" t="s">
        <v>12</v>
      </c>
      <c r="AJ28" s="10" t="s">
        <v>131</v>
      </c>
      <c r="AK28" s="4" t="str">
        <f>IF(AD28="LEEG","LEEG",IF(TYPE(AD28)=2,IF(LEN(AD28)=2,IF(AND($AI$11=0,AH29="DUBBEL"),"ONGELDIG","GOED"),"ONGELDIG"),"ONGELDIG"))</f>
        <v>LEEG</v>
      </c>
      <c r="AL28" s="4" t="str">
        <f>IF(AF28="LEEG","LEEG",IF(TYPE(AF28)=2,IF(LEN(AF28)=2,IF(AND($AI$11=0,AJ29="DUBBEL"),"ONGELDIG","GOED"),"ONGELDIG"),"ONGELDIG"))</f>
        <v>LEEG</v>
      </c>
      <c r="AM28" s="4"/>
      <c r="AN28" s="4" t="str">
        <f>IF(ISBLANK(W28),"LEEG",IF(OR(W28=1,W28=2,W28=3),"GOED","ONGELDIG"))</f>
        <v>LEEG</v>
      </c>
      <c r="AO28" s="139" t="str">
        <f>IF(AK28="GOED",IF(AL28="GOED",IF(AN28="GOED",AD28&amp;AF28&amp;W28&amp;"|","FOUT"),"FOUT"),"FOUT")</f>
        <v>FOUT</v>
      </c>
      <c r="AP28" s="92">
        <f>LEN(AO28)</f>
        <v>4</v>
      </c>
      <c r="AQ28" s="297"/>
      <c r="AR28" s="307" t="s">
        <v>5</v>
      </c>
      <c r="AS28" s="719"/>
      <c r="AT28" s="720" t="s">
        <v>2397</v>
      </c>
      <c r="AU28" s="719"/>
      <c r="AV28" s="720" t="s">
        <v>2398</v>
      </c>
      <c r="AW28" s="719"/>
      <c r="AX28" s="720" t="s">
        <v>2401</v>
      </c>
      <c r="AY28" s="719"/>
      <c r="AZ28" s="720" t="s">
        <v>6</v>
      </c>
      <c r="BA28" s="723"/>
    </row>
    <row r="29" spans="1:53" ht="15" customHeight="1" x14ac:dyDescent="0.4">
      <c r="A29" s="163"/>
      <c r="B29" s="17"/>
      <c r="C29" s="1049"/>
      <c r="D29" s="17"/>
      <c r="E29" s="17"/>
      <c r="F29" s="17"/>
      <c r="G29" s="1327" t="str">
        <f ca="1">IF($AB$9=1," "&amp;AC29,IF($AB$9=2,IF(AC28="OO"," "&amp;AC29,""),""))</f>
        <v xml:space="preserve"> </v>
      </c>
      <c r="H29" s="1327"/>
      <c r="I29" s="1327"/>
      <c r="J29" s="1327"/>
      <c r="K29" s="1327"/>
      <c r="L29" s="1327"/>
      <c r="M29" s="16"/>
      <c r="N29" s="16"/>
      <c r="O29" s="1327" t="str">
        <f ca="1">IF($AB$9=1," "&amp;AE29,IF($AB$9=2,IF(AE28="OO"," "&amp;AE29,""),""))</f>
        <v xml:space="preserve"> </v>
      </c>
      <c r="P29" s="1327"/>
      <c r="Q29" s="1327"/>
      <c r="R29" s="1327"/>
      <c r="S29" s="1327"/>
      <c r="T29" s="1327"/>
      <c r="U29" s="1327"/>
      <c r="V29" s="17"/>
      <c r="W29" s="17"/>
      <c r="X29" s="17"/>
      <c r="Y29" s="17"/>
      <c r="Z29" s="1058"/>
      <c r="AA29" s="17"/>
      <c r="AB29" s="5"/>
      <c r="AC29" s="1326" t="str">
        <f ca="1">AM93</f>
        <v/>
      </c>
      <c r="AD29" s="1326"/>
      <c r="AE29" s="1326" t="str">
        <f ca="1">AO93</f>
        <v/>
      </c>
      <c r="AF29" s="1326"/>
      <c r="AG29" s="755" t="str">
        <f>IF(AO28="FOUT","",IF(W28=1,AC28,IF(W28=2,AE28,AC28&amp;AE28)))</f>
        <v/>
      </c>
      <c r="AH29" s="449" t="str">
        <f>IF(AD28="LEEG","LEEG",IF(AD28= "FOUT","ONGELDIG",IF(LEN(SUBSTITUTE(SUBSTITUTE("|"&amp;$AD$14&amp;"|"&amp;$AF$14&amp;"|"&amp;$AD$16&amp;"|"&amp;$AF$16&amp;"|"&amp;$AD$18&amp;"|"&amp;$AF$18&amp;"|"&amp;$AD$20&amp;"|"&amp;$AF$20&amp;"|"&amp;$AD$22&amp;"|"&amp;$AF$22&amp;"|"&amp;$AD$24&amp;"|"&amp;$AF$24&amp;"|"&amp;$AD$26&amp;"|"&amp;$AF$26&amp;"|"&amp;$AD$28&amp;"|"&amp;$AF$28&amp;"|","LEEG","##"),AD28,"CONTROLE"))=$AJ$30,"GOED","DUBBEL")))</f>
        <v>LEEG</v>
      </c>
      <c r="AI29" s="5"/>
      <c r="AJ29" s="449" t="str">
        <f>IF(AF28="LEEG","LEEG",IF(AF28= "FOUT","ONGELDIG",IF(LEN(SUBSTITUTE(SUBSTITUTE("|"&amp;$AD$14&amp;"|"&amp;$AF$14&amp;"|"&amp;$AD$16&amp;"|"&amp;$AF$16&amp;"|"&amp;$AD$18&amp;"|"&amp;$AF$18&amp;"|"&amp;$AD$20&amp;"|"&amp;$AF$20&amp;"|"&amp;$AD$22&amp;"|"&amp;$AF$22&amp;"|"&amp;$AD$24&amp;"|"&amp;$AF$24&amp;"|"&amp;$AD$26&amp;"|"&amp;$AF$26&amp;"|"&amp;$AD$28&amp;"|"&amp;$AF$28&amp;"|","LEEG","##"),AF28,"CONTROLE"))=$AJ$30,"GOED","DUBBEL")))</f>
        <v>LEEG</v>
      </c>
      <c r="AK29" s="141"/>
      <c r="AL29" s="141"/>
      <c r="AM29" s="141"/>
      <c r="AN29" s="141"/>
      <c r="AO29" s="141"/>
      <c r="AP29" s="92"/>
      <c r="AQ29" s="301" t="str">
        <f ca="1">VLOOKUP(AR29,Voorblad!$X$67:$Z$98,2,FALSE)</f>
        <v>Polen</v>
      </c>
      <c r="AR29" s="302" t="str">
        <f>AR28&amp;1</f>
        <v>D1</v>
      </c>
      <c r="AS29" s="721" t="str">
        <f ca="1">IF(AT29=$AR$11,$AQ$11,IF(AT29=$AR$12,$AQ$12,VLOOKUP(AT29,Voorblad!$X$67:$Z$98,2,FALSE)))</f>
        <v>Albanië</v>
      </c>
      <c r="AT29" s="722" t="str">
        <f t="shared" ref="AT29:AT49" ca="1" si="5">RIGHT(LEFT($AK$96,$BA29),2)</f>
        <v>B4</v>
      </c>
      <c r="AU29" s="721" t="str">
        <f ca="1">IF(AV29=$AR$11,$AQ$11,IF(AV29=$AR$12,$AQ$12,VLOOKUP(AV29,Voorblad!$X$67:$Z$98,2,FALSE)))</f>
        <v>Denemarken</v>
      </c>
      <c r="AV29" s="722" t="str">
        <f ca="1">RIGHT(LEFT($AL$96,$BA29),2)</f>
        <v>C2</v>
      </c>
      <c r="AW29" s="721" t="str">
        <f ca="1">IF(AX29=$AR$11,$AQ$11,IF(AX29=$AR$12,$AQ$12,VLOOKUP(AX29,Voorblad!$X$67:$Z$98,2,FALSE)))</f>
        <v>Albanië</v>
      </c>
      <c r="AX29" s="722" t="str">
        <f ca="1">RIGHT(LEFT($AK$97,$BA29),2)</f>
        <v>B4</v>
      </c>
      <c r="AY29" s="721" t="str">
        <f ca="1">IF(AZ29=$AR$11,$AQ$11,IF(AZ29=$AR$12,$AQ$12,VLOOKUP(AZ29,Voorblad!$X$67:$Z$98,2,FALSE)))</f>
        <v>België</v>
      </c>
      <c r="AZ29" s="722" t="str">
        <f ca="1">RIGHT(LEFT($AL$97,$BA29),2)</f>
        <v>E1</v>
      </c>
      <c r="BA29" s="724">
        <v>2</v>
      </c>
    </row>
    <row r="30" spans="1:53" ht="15" customHeight="1" x14ac:dyDescent="0.4">
      <c r="A30" s="627"/>
      <c r="B30" s="17"/>
      <c r="C30" s="1049"/>
      <c r="D30" s="451"/>
      <c r="E30" s="451"/>
      <c r="F30" s="451"/>
      <c r="G30" s="451"/>
      <c r="H30" s="451"/>
      <c r="I30" s="451"/>
      <c r="J30" s="451"/>
      <c r="K30" s="451"/>
      <c r="L30" s="451"/>
      <c r="M30" s="451"/>
      <c r="N30" s="451"/>
      <c r="O30" s="1330"/>
      <c r="P30" s="1330"/>
      <c r="Q30" s="1330"/>
      <c r="R30" s="1330"/>
      <c r="S30" s="1330"/>
      <c r="T30" s="1330"/>
      <c r="U30" s="1330"/>
      <c r="V30" s="1330"/>
      <c r="W30" s="1330"/>
      <c r="X30" s="1330"/>
      <c r="Y30" s="1330"/>
      <c r="Z30" s="1058"/>
      <c r="AA30" s="17"/>
      <c r="AB30" s="5"/>
      <c r="AC30" s="449"/>
      <c r="AD30" s="449"/>
      <c r="AE30" s="449"/>
      <c r="AF30" s="449"/>
      <c r="AG30" s="5"/>
      <c r="AH30" s="449"/>
      <c r="AI30" s="5"/>
      <c r="AJ30" s="448">
        <f>16*3+1+LEN("CONTROLE")-2</f>
        <v>55</v>
      </c>
      <c r="AK30" s="141"/>
      <c r="AL30" s="141"/>
      <c r="AM30" s="141"/>
      <c r="AN30" s="141"/>
      <c r="AO30" s="141"/>
      <c r="AP30" s="92"/>
      <c r="AQ30" s="301" t="str">
        <f ca="1">VLOOKUP(AR30,Voorblad!$X$67:$Z$98,2,FALSE)</f>
        <v>Nederland</v>
      </c>
      <c r="AR30" s="302" t="str">
        <f>AR28&amp;2</f>
        <v>D2</v>
      </c>
      <c r="AS30" s="721" t="str">
        <f ca="1">IF(AT30=$AR$11,$AQ$11,IF(AT30=$AR$12,$AQ$12,VLOOKUP(AT30,Voorblad!$X$67:$Z$98,2,FALSE)))</f>
        <v>België</v>
      </c>
      <c r="AT30" s="722" t="str">
        <f t="shared" ca="1" si="5"/>
        <v>E1</v>
      </c>
      <c r="AU30" s="721" t="str">
        <f ca="1">IF(AV30=$AR$11,$AQ$11,IF(AV30=$AR$12,$AQ$12,VLOOKUP(AV30,Voorblad!$X$67:$Z$98,2,FALSE)))</f>
        <v>Duitsland</v>
      </c>
      <c r="AV30" s="722" t="str">
        <f t="shared" ref="AV30:AV49" ca="1" si="6">RIGHT(LEFT($AL$96,$BA30),2)</f>
        <v>A1</v>
      </c>
      <c r="AW30" s="721" t="str">
        <f ca="1">IF(AX30=$AR$11,$AQ$11,IF(AX30=$AR$12,$AQ$12,VLOOKUP(AX30,Voorblad!$X$67:$Z$98,2,FALSE)))</f>
        <v>Denemarken</v>
      </c>
      <c r="AX30" s="722" t="str">
        <f t="shared" ref="AX30:AX49" ca="1" si="7">RIGHT(LEFT($AK$97,$BA30),2)</f>
        <v>C2</v>
      </c>
      <c r="AY30" s="721" t="str">
        <f ca="1">IF(AZ30=$AR$11,$AQ$11,IF(AZ30=$AR$12,$AQ$12,VLOOKUP(AZ30,Voorblad!$X$67:$Z$98,2,FALSE)))</f>
        <v>Frankrijk</v>
      </c>
      <c r="AZ30" s="722" t="str">
        <f t="shared" ref="AZ30:AZ49" ca="1" si="8">RIGHT(LEFT($AL$97,$BA30),2)</f>
        <v>D4</v>
      </c>
      <c r="BA30" s="725">
        <f t="shared" ref="BA30:BA49" si="9">BA29+2</f>
        <v>4</v>
      </c>
    </row>
    <row r="31" spans="1:53" ht="15" customHeight="1" x14ac:dyDescent="0.4">
      <c r="A31" s="613" t="str">
        <f>IF(A30="H","H","")</f>
        <v/>
      </c>
      <c r="B31" s="17"/>
      <c r="C31" s="1049"/>
      <c r="D31" s="59" t="s">
        <v>474</v>
      </c>
      <c r="E31" s="1328" t="str">
        <f ca="1">Taal04!B71</f>
        <v>Via onderstaande link kunt u de criteria vinden voor het bepalen van de 4 beste nummers 3 in de groepsfase.</v>
      </c>
      <c r="F31" s="1328"/>
      <c r="G31" s="1328"/>
      <c r="H31" s="1328"/>
      <c r="I31" s="1328"/>
      <c r="J31" s="1328"/>
      <c r="K31" s="1328"/>
      <c r="L31" s="1328"/>
      <c r="M31" s="1328"/>
      <c r="N31" s="1328"/>
      <c r="O31" s="1328"/>
      <c r="P31" s="1328"/>
      <c r="Q31" s="1328"/>
      <c r="R31" s="1328"/>
      <c r="S31" s="1328"/>
      <c r="T31" s="1328"/>
      <c r="U31" s="1328"/>
      <c r="V31" s="1328"/>
      <c r="W31" s="1328"/>
      <c r="X31" s="1328"/>
      <c r="Y31" s="1328"/>
      <c r="Z31" s="1058"/>
      <c r="AA31" s="17"/>
      <c r="AB31" s="5"/>
      <c r="AC31" s="700"/>
      <c r="AD31" s="449"/>
      <c r="AE31" s="449"/>
      <c r="AF31" s="449"/>
      <c r="AG31" s="5"/>
      <c r="AH31" s="449"/>
      <c r="AI31" s="5"/>
      <c r="AJ31" s="449"/>
      <c r="AK31" s="141"/>
      <c r="AL31" s="141"/>
      <c r="AM31" s="141"/>
      <c r="AN31" s="141"/>
      <c r="AO31" s="141"/>
      <c r="AP31" s="92"/>
      <c r="AQ31" s="301" t="str">
        <f ca="1">VLOOKUP(AR31,Voorblad!$X$67:$Z$98,2,FALSE)</f>
        <v>Oostenrijk</v>
      </c>
      <c r="AR31" s="302" t="str">
        <f>AR28&amp;3</f>
        <v>D3</v>
      </c>
      <c r="AS31" s="721" t="str">
        <f ca="1">IF(AT31=$AR$11,$AQ$11,IF(AT31=$AR$12,$AQ$12,VLOOKUP(AT31,Voorblad!$X$67:$Z$98,2,FALSE)))</f>
        <v>Duitsland</v>
      </c>
      <c r="AT31" s="722" t="str">
        <f t="shared" ca="1" si="5"/>
        <v>A1</v>
      </c>
      <c r="AU31" s="721" t="str">
        <f ca="1">IF(AV31=$AR$11,$AQ$11,IF(AV31=$AR$12,$AQ$12,VLOOKUP(AV31,Voorblad!$X$67:$Z$98,2,FALSE)))</f>
        <v>Engeland</v>
      </c>
      <c r="AV31" s="722" t="str">
        <f t="shared" ca="1" si="6"/>
        <v>C4</v>
      </c>
      <c r="AW31" s="721" t="str">
        <f ca="1">IF(AX31=$AR$11,$AQ$11,IF(AX31=$AR$12,$AQ$12,VLOOKUP(AX31,Voorblad!$X$67:$Z$98,2,FALSE)))</f>
        <v>Duitsland</v>
      </c>
      <c r="AX31" s="722" t="str">
        <f t="shared" ca="1" si="7"/>
        <v>A1</v>
      </c>
      <c r="AY31" s="721" t="str">
        <f ca="1">IF(AZ31=$AR$11,$AQ$11,IF(AZ31=$AR$12,$AQ$12,VLOOKUP(AZ31,Voorblad!$X$67:$Z$98,2,FALSE)))</f>
        <v>Nederland</v>
      </c>
      <c r="AZ31" s="722" t="str">
        <f t="shared" ca="1" si="8"/>
        <v>D2</v>
      </c>
      <c r="BA31" s="725">
        <f t="shared" si="9"/>
        <v>6</v>
      </c>
    </row>
    <row r="32" spans="1:53" ht="15" customHeight="1" x14ac:dyDescent="0.4">
      <c r="A32" s="613" t="str">
        <f t="shared" ref="A32:A33" si="10">IF(A31="H","H","")</f>
        <v/>
      </c>
      <c r="B32" s="17"/>
      <c r="C32" s="1049"/>
      <c r="D32" s="446"/>
      <c r="E32" s="1328" t="str">
        <f ca="1">Taal04!B72</f>
        <v>Tevens vind u hier ook de verdeelsleutel voor het bepalen welk team in welke achtste finale speelt.</v>
      </c>
      <c r="F32" s="1328"/>
      <c r="G32" s="1328"/>
      <c r="H32" s="1328"/>
      <c r="I32" s="1328"/>
      <c r="J32" s="1328"/>
      <c r="K32" s="1328"/>
      <c r="L32" s="1328"/>
      <c r="M32" s="1328"/>
      <c r="N32" s="1328"/>
      <c r="O32" s="1328"/>
      <c r="P32" s="1328"/>
      <c r="Q32" s="1328"/>
      <c r="R32" s="1328"/>
      <c r="S32" s="1328"/>
      <c r="T32" s="1328"/>
      <c r="U32" s="1328"/>
      <c r="V32" s="1328"/>
      <c r="W32" s="1328"/>
      <c r="X32" s="1328"/>
      <c r="Y32" s="1328"/>
      <c r="Z32" s="1058"/>
      <c r="AA32" s="17"/>
      <c r="AB32" s="5"/>
      <c r="AC32" s="700"/>
      <c r="AD32" s="449"/>
      <c r="AE32" s="449"/>
      <c r="AF32" s="449"/>
      <c r="AG32" s="5"/>
      <c r="AH32" s="449"/>
      <c r="AI32" s="5"/>
      <c r="AJ32" s="449"/>
      <c r="AK32" s="141"/>
      <c r="AL32" s="141"/>
      <c r="AM32" s="141"/>
      <c r="AN32" s="141"/>
      <c r="AO32" s="141"/>
      <c r="AP32" s="92"/>
      <c r="AQ32" s="303" t="str">
        <f ca="1">VLOOKUP(AR32,Voorblad!$X$67:$Z$98,2,FALSE)</f>
        <v>Frankrijk</v>
      </c>
      <c r="AR32" s="305" t="str">
        <f>AR28&amp;4</f>
        <v>D4</v>
      </c>
      <c r="AS32" s="721" t="str">
        <f ca="1">IF(AT32=$AR$11,$AQ$11,IF(AT32=$AR$12,$AQ$12,VLOOKUP(AT32,Voorblad!$X$67:$Z$98,2,FALSE)))</f>
        <v>Frankrijk</v>
      </c>
      <c r="AT32" s="722" t="str">
        <f t="shared" ca="1" si="5"/>
        <v>D4</v>
      </c>
      <c r="AU32" s="721" t="str">
        <f ca="1">IF(AV32=$AR$11,$AQ$11,IF(AV32=$AR$12,$AQ$12,VLOOKUP(AV32,Voorblad!$X$67:$Z$98,2,FALSE)))</f>
        <v>Hongarije</v>
      </c>
      <c r="AV32" s="722" t="str">
        <f t="shared" ca="1" si="6"/>
        <v>A3</v>
      </c>
      <c r="AW32" s="721" t="str">
        <f ca="1">IF(AX32=$AR$11,$AQ$11,IF(AX32=$AR$12,$AQ$12,VLOOKUP(AX32,Voorblad!$X$67:$Z$98,2,FALSE)))</f>
        <v>Engeland</v>
      </c>
      <c r="AX32" s="722" t="str">
        <f t="shared" ca="1" si="7"/>
        <v>C4</v>
      </c>
      <c r="AY32" s="721" t="str">
        <f ca="1">IF(AZ32=$AR$11,$AQ$11,IF(AZ32=$AR$12,$AQ$12,VLOOKUP(AZ32,Voorblad!$X$67:$Z$98,2,FALSE)))</f>
        <v>Oekraïne</v>
      </c>
      <c r="AZ32" s="722" t="str">
        <f t="shared" ca="1" si="8"/>
        <v>E4</v>
      </c>
      <c r="BA32" s="725">
        <f t="shared" si="9"/>
        <v>8</v>
      </c>
    </row>
    <row r="33" spans="1:53" ht="15" customHeight="1" x14ac:dyDescent="0.25">
      <c r="A33" s="613" t="str">
        <f t="shared" si="10"/>
        <v/>
      </c>
      <c r="B33" s="17"/>
      <c r="C33" s="1049"/>
      <c r="D33" s="1329" t="str">
        <f ca="1">Taal04!B73</f>
        <v>www.excel-pool.nl/4beste3</v>
      </c>
      <c r="E33" s="1329"/>
      <c r="F33" s="1329"/>
      <c r="G33" s="1329"/>
      <c r="H33" s="1329"/>
      <c r="I33" s="1329"/>
      <c r="J33" s="1329"/>
      <c r="K33" s="1329"/>
      <c r="L33" s="1329"/>
      <c r="M33" s="1329"/>
      <c r="N33" s="1329"/>
      <c r="O33" s="1329"/>
      <c r="P33" s="1329"/>
      <c r="Q33" s="1329"/>
      <c r="R33" s="1329"/>
      <c r="S33" s="1329"/>
      <c r="T33" s="1329"/>
      <c r="U33" s="1329"/>
      <c r="V33" s="1329"/>
      <c r="W33" s="1329"/>
      <c r="X33" s="1329"/>
      <c r="Y33" s="1329"/>
      <c r="Z33" s="1058"/>
      <c r="AA33" s="17"/>
      <c r="AB33" s="5"/>
      <c r="AC33" s="700"/>
      <c r="AD33" s="449"/>
      <c r="AE33" s="449"/>
      <c r="AF33" s="449"/>
      <c r="AG33" s="5"/>
      <c r="AH33" s="449"/>
      <c r="AI33" s="5"/>
      <c r="AJ33" s="449"/>
      <c r="AK33" s="1313" t="s">
        <v>15</v>
      </c>
      <c r="AL33" s="1313"/>
      <c r="AM33" s="1313"/>
      <c r="AN33" s="1313"/>
      <c r="AO33" s="1313"/>
      <c r="AP33" s="92"/>
      <c r="AQ33" s="297"/>
      <c r="AR33" s="299" t="s">
        <v>167</v>
      </c>
      <c r="AS33" s="721" t="str">
        <f ca="1">IF(AT33=$AR$11,$AQ$11,IF(AT33=$AR$12,$AQ$12,VLOOKUP(AT33,Voorblad!$X$67:$Z$98,2,FALSE)))</f>
        <v>Georgië</v>
      </c>
      <c r="AT33" s="722" t="str">
        <f t="shared" ca="1" si="5"/>
        <v>F2</v>
      </c>
      <c r="AU33" s="721" t="str">
        <f ca="1">IF(AV33=$AR$11,$AQ$11,IF(AV33=$AR$12,$AQ$12,VLOOKUP(AV33,Voorblad!$X$67:$Z$98,2,FALSE)))</f>
        <v>Schotland</v>
      </c>
      <c r="AV33" s="722" t="str">
        <f t="shared" ca="1" si="6"/>
        <v>A2</v>
      </c>
      <c r="AW33" s="721" t="str">
        <f ca="1">IF(AX33=$AR$11,$AQ$11,IF(AX33=$AR$12,$AQ$12,VLOOKUP(AX33,Voorblad!$X$67:$Z$98,2,FALSE)))</f>
        <v>Georgië</v>
      </c>
      <c r="AX33" s="722" t="str">
        <f t="shared" ca="1" si="7"/>
        <v>F2</v>
      </c>
      <c r="AY33" s="721" t="str">
        <f ca="1">IF(AZ33=$AR$11,$AQ$11,IF(AZ33=$AR$12,$AQ$12,VLOOKUP(AZ33,Voorblad!$X$67:$Z$98,2,FALSE)))</f>
        <v>Oostenrijk</v>
      </c>
      <c r="AZ33" s="722" t="str">
        <f t="shared" ca="1" si="8"/>
        <v>D3</v>
      </c>
      <c r="BA33" s="725">
        <f t="shared" si="9"/>
        <v>10</v>
      </c>
    </row>
    <row r="34" spans="1:53" ht="24" customHeight="1" x14ac:dyDescent="0.4">
      <c r="A34" s="163"/>
      <c r="B34" s="17"/>
      <c r="C34" s="1049"/>
      <c r="D34" s="908" t="str">
        <f ca="1">Taal04!$B$28</f>
        <v>Kwartfinale</v>
      </c>
      <c r="E34" s="17"/>
      <c r="F34" s="17"/>
      <c r="G34" s="17"/>
      <c r="H34" s="17"/>
      <c r="I34" s="754"/>
      <c r="J34" s="754"/>
      <c r="K34" s="754"/>
      <c r="L34" s="754"/>
      <c r="M34" s="754"/>
      <c r="N34" s="754"/>
      <c r="O34" s="754"/>
      <c r="P34" s="754"/>
      <c r="Q34" s="754"/>
      <c r="R34" s="754"/>
      <c r="S34" s="754"/>
      <c r="T34" s="754"/>
      <c r="U34" s="754"/>
      <c r="V34" s="754"/>
      <c r="W34" s="754"/>
      <c r="X34" s="754"/>
      <c r="Y34" s="754"/>
      <c r="Z34" s="61"/>
      <c r="AA34" s="17"/>
      <c r="AB34" s="174"/>
      <c r="AC34" s="447"/>
      <c r="AD34" s="306"/>
      <c r="AE34" s="306"/>
      <c r="AF34" s="306"/>
      <c r="AG34" s="5"/>
      <c r="AH34" s="5"/>
      <c r="AI34" s="5"/>
      <c r="AJ34" s="449"/>
      <c r="AK34" s="1313"/>
      <c r="AL34" s="1313"/>
      <c r="AM34" s="1313"/>
      <c r="AN34" s="1313"/>
      <c r="AO34" s="1313"/>
      <c r="AP34" s="92"/>
      <c r="AQ34" s="301" t="str">
        <f ca="1">VLOOKUP(AR34,Voorblad!$X$67:$Z$98,2,FALSE)</f>
        <v>België</v>
      </c>
      <c r="AR34" s="302" t="str">
        <f>AR33&amp;1</f>
        <v>E1</v>
      </c>
      <c r="AS34" s="721" t="str">
        <f ca="1">IF(AT34=$AR$11,$AQ$11,IF(AT34=$AR$12,$AQ$12,VLOOKUP(AT34,Voorblad!$X$67:$Z$98,2,FALSE)))</f>
        <v>Hongarije</v>
      </c>
      <c r="AT34" s="722" t="str">
        <f t="shared" ca="1" si="5"/>
        <v>A3</v>
      </c>
      <c r="AU34" s="721" t="str">
        <f ca="1">IF(AV34=$AR$11,$AQ$11,IF(AV34=$AR$12,$AQ$12,VLOOKUP(AV34,Voorblad!$X$67:$Z$98,2,FALSE)))</f>
        <v>Servië</v>
      </c>
      <c r="AV34" s="722" t="str">
        <f t="shared" ca="1" si="6"/>
        <v>C3</v>
      </c>
      <c r="AW34" s="721" t="str">
        <f ca="1">IF(AX34=$AR$11,$AQ$11,IF(AX34=$AR$12,$AQ$12,VLOOKUP(AX34,Voorblad!$X$67:$Z$98,2,FALSE)))</f>
        <v>Hongarije</v>
      </c>
      <c r="AX34" s="722" t="str">
        <f t="shared" ca="1" si="7"/>
        <v>A3</v>
      </c>
      <c r="AY34" s="721" t="str">
        <f ca="1">IF(AZ34=$AR$11,$AQ$11,IF(AZ34=$AR$12,$AQ$12,VLOOKUP(AZ34,Voorblad!$X$67:$Z$98,2,FALSE)))</f>
        <v>Polen</v>
      </c>
      <c r="AZ34" s="722" t="str">
        <f t="shared" ca="1" si="8"/>
        <v>D1</v>
      </c>
      <c r="BA34" s="725">
        <f t="shared" si="9"/>
        <v>12</v>
      </c>
    </row>
    <row r="35" spans="1:53" ht="15" customHeight="1" x14ac:dyDescent="0.25">
      <c r="A35" s="163"/>
      <c r="B35" s="17"/>
      <c r="C35" s="1049"/>
      <c r="D35" s="17"/>
      <c r="E35" s="1038" t="str">
        <f ca="1">Taal04!$B$20</f>
        <v>Datum</v>
      </c>
      <c r="F35" s="1038" t="str">
        <f ca="1">Taal04!$B$21</f>
        <v>Tijd</v>
      </c>
      <c r="G35" s="1315" t="str">
        <f ca="1">Taal04!$B$22</f>
        <v>Wedstrijd</v>
      </c>
      <c r="H35" s="1315"/>
      <c r="I35" s="1315"/>
      <c r="J35" s="1315"/>
      <c r="K35" s="1315"/>
      <c r="L35" s="1315"/>
      <c r="M35" s="1315"/>
      <c r="N35" s="1315"/>
      <c r="O35" s="1315"/>
      <c r="P35" s="1315"/>
      <c r="Q35" s="1315"/>
      <c r="R35" s="1315"/>
      <c r="S35" s="1315"/>
      <c r="T35" s="1315"/>
      <c r="U35" s="1315"/>
      <c r="V35" s="17"/>
      <c r="W35" s="1234" t="str">
        <f ca="1">Taal04!$B$23</f>
        <v>TOTO</v>
      </c>
      <c r="X35" s="1235"/>
      <c r="Y35" s="1235"/>
      <c r="Z35" s="61"/>
      <c r="AA35" s="17"/>
      <c r="AB35" s="5"/>
      <c r="AC35" s="219" t="s">
        <v>18</v>
      </c>
      <c r="AD35" s="219" t="s">
        <v>19</v>
      </c>
      <c r="AE35" s="219" t="s">
        <v>18</v>
      </c>
      <c r="AF35" s="219" t="s">
        <v>19</v>
      </c>
      <c r="AG35" s="5"/>
      <c r="AH35" s="10" t="s">
        <v>73</v>
      </c>
      <c r="AI35" s="5"/>
      <c r="AJ35" s="10" t="s">
        <v>73</v>
      </c>
      <c r="AK35" s="4" t="s">
        <v>24</v>
      </c>
      <c r="AL35" s="4" t="s">
        <v>25</v>
      </c>
      <c r="AM35" s="4"/>
      <c r="AN35" s="4" t="s">
        <v>234</v>
      </c>
      <c r="AO35" s="139" t="s">
        <v>0</v>
      </c>
      <c r="AP35" s="92"/>
      <c r="AQ35" s="301" t="str">
        <f ca="1">VLOOKUP(AR35,Voorblad!$X$67:$Z$98,2,FALSE)</f>
        <v>Slowakije</v>
      </c>
      <c r="AR35" s="302" t="str">
        <f>AR33&amp;2</f>
        <v>E2</v>
      </c>
      <c r="AS35" s="721" t="str">
        <f ca="1">IF(AT35=$AR$11,$AQ$11,IF(AT35=$AR$12,$AQ$12,VLOOKUP(AT35,Voorblad!$X$67:$Z$98,2,FALSE)))</f>
        <v>Italië</v>
      </c>
      <c r="AT35" s="722" t="str">
        <f t="shared" ca="1" si="5"/>
        <v>B3</v>
      </c>
      <c r="AU35" s="721" t="str">
        <f ca="1">IF(AV35=$AR$11,$AQ$11,IF(AV35=$AR$12,$AQ$12,VLOOKUP(AV35,Voorblad!$X$67:$Z$98,2,FALSE)))</f>
        <v>Slovenië</v>
      </c>
      <c r="AV35" s="722" t="str">
        <f t="shared" ca="1" si="6"/>
        <v>C1</v>
      </c>
      <c r="AW35" s="721" t="str">
        <f ca="1">IF(AX35=$AR$11,$AQ$11,IF(AX35=$AR$12,$AQ$12,VLOOKUP(AX35,Voorblad!$X$67:$Z$98,2,FALSE)))</f>
        <v>Italië</v>
      </c>
      <c r="AX35" s="722" t="str">
        <f t="shared" ca="1" si="7"/>
        <v>B3</v>
      </c>
      <c r="AY35" s="721" t="str">
        <f ca="1">IF(AZ35=$AR$11,$AQ$11,IF(AZ35=$AR$12,$AQ$12,VLOOKUP(AZ35,Voorblad!$X$67:$Z$98,2,FALSE)))</f>
        <v>Roemenië</v>
      </c>
      <c r="AZ35" s="722" t="str">
        <f t="shared" ca="1" si="8"/>
        <v>E3</v>
      </c>
      <c r="BA35" s="725">
        <f t="shared" si="9"/>
        <v>14</v>
      </c>
    </row>
    <row r="36" spans="1:53" ht="15" customHeight="1" x14ac:dyDescent="0.25">
      <c r="A36" s="163"/>
      <c r="B36" s="17"/>
      <c r="C36" s="1049"/>
      <c r="D36" s="6">
        <f>D28+1</f>
        <v>45</v>
      </c>
      <c r="E36" s="11">
        <f>E26+3</f>
        <v>45478.75</v>
      </c>
      <c r="F36" s="135">
        <f>E36+TIME(0,0,0)</f>
        <v>45478.75</v>
      </c>
      <c r="G36" s="1331" t="str">
        <f ca="1">" "&amp;Taal04!$B$77&amp;" "&amp;D20</f>
        <v xml:space="preserve"> Win. Wedstrijd 39</v>
      </c>
      <c r="H36" s="1331"/>
      <c r="I36" s="1331"/>
      <c r="J36" s="1331"/>
      <c r="K36" s="1331"/>
      <c r="L36" s="704"/>
      <c r="M36" s="702"/>
      <c r="N36" s="703" t="str">
        <f>IF(AK36="LEEG","▼   ","")&amp;"-  "</f>
        <v xml:space="preserve">▼   -  </v>
      </c>
      <c r="O36" s="1331" t="str">
        <f ca="1">" "&amp;Taal04!$B$77&amp;" "&amp;D16</f>
        <v xml:space="preserve"> Win. Wedstrijd 37</v>
      </c>
      <c r="P36" s="1331"/>
      <c r="Q36" s="1331"/>
      <c r="R36" s="1331"/>
      <c r="S36" s="1331"/>
      <c r="T36" s="1331"/>
      <c r="U36" s="704"/>
      <c r="V36" s="703" t="str">
        <f>IF(AL36="LEEG","▼   ","")&amp;": "</f>
        <v xml:space="preserve">▼   : </v>
      </c>
      <c r="W36" s="1316"/>
      <c r="X36" s="1316"/>
      <c r="Y36" s="1316"/>
      <c r="Z36" s="1063"/>
      <c r="AA36" s="445"/>
      <c r="AB36" s="5"/>
      <c r="AC36" s="271" t="str">
        <f>IF(OR(L36="",ISBLANK(L36),L36=$AQ$11),"OO",IF(TYPE(VLOOKUP(L36,Taal02!$C$100:$D$419,2,FALSE))=16,"XX",VLOOKUP(L36,Taal02!$C$100:$D$419,2,FALSE)))</f>
        <v>OO</v>
      </c>
      <c r="AD36" s="219" t="str">
        <f>IF(AC36="OO","LEEG",IF(AC36="XX","FOUT",VLOOKUP(AC36,Voorblad!$X$65:$Z$98,3,FALSE)))</f>
        <v>LEEG</v>
      </c>
      <c r="AE36" s="271" t="str">
        <f>IF(OR(U36="",ISBLANK(U36),U36=$AQ$11),"OO",IF(TYPE(VLOOKUP(U36,Taal02!$C$100:$D$419,2,FALSE))=16,"XX",VLOOKUP(U36,Taal02!$C$100:$D$419,2,FALSE)))</f>
        <v>OO</v>
      </c>
      <c r="AF36" s="219" t="str">
        <f>IF(AE36="OO","LEEG",IF(AE36="XX","FOUT",VLOOKUP(AE36,Voorblad!$X$65:$Z$98,3,FALSE)))</f>
        <v>LEEG</v>
      </c>
      <c r="AG36" s="5"/>
      <c r="AH36" s="383" t="s">
        <v>2397</v>
      </c>
      <c r="AI36" s="10" t="s">
        <v>12</v>
      </c>
      <c r="AJ36" s="383" t="s">
        <v>2398</v>
      </c>
      <c r="AK36" s="4" t="str">
        <f>IF(AD36="LEEG","LEEG",IF(TYPE(AD36)=2,IF(LEN(AD36)=2,IF(AND($AI$11=0,AH37="DUBBEL"),"ONGELDIG","GOED"),"ONGELDIG"),"ONGELDIG"))</f>
        <v>LEEG</v>
      </c>
      <c r="AL36" s="4" t="str">
        <f>IF(AF36="LEEG","LEEG",IF(TYPE(AF36)=2,IF(LEN(AF36)=2,IF(AND($AI$11=0,AJ37="DUBBEL"),"ONGELDIG","GOED"),"ONGELDIG"),"ONGELDIG"))</f>
        <v>LEEG</v>
      </c>
      <c r="AM36" s="4"/>
      <c r="AN36" s="4" t="str">
        <f>IF(ISBLANK(W36),"LEEG",IF(OR(W36=1,W36=2,W36=3),"GOED","ONGELDIG"))</f>
        <v>LEEG</v>
      </c>
      <c r="AO36" s="139" t="str">
        <f>IF(AK36="GOED",IF(AL36="GOED",IF(AN36="GOED",AD36&amp;AF36&amp;W36&amp;"|","FOUT"),"FOUT"),"FOUT")</f>
        <v>FOUT</v>
      </c>
      <c r="AP36" s="92">
        <f>LEN(AO36)</f>
        <v>4</v>
      </c>
      <c r="AQ36" s="301" t="str">
        <f ca="1">VLOOKUP(AR36,Voorblad!$X$67:$Z$98,2,FALSE)</f>
        <v>Roemenië</v>
      </c>
      <c r="AR36" s="302" t="str">
        <f>AR33&amp;3</f>
        <v>E3</v>
      </c>
      <c r="AS36" s="721" t="str">
        <f ca="1">IF(AT36=$AR$11,$AQ$11,IF(AT36=$AR$12,$AQ$12,VLOOKUP(AT36,Voorblad!$X$67:$Z$98,2,FALSE)))</f>
        <v>Kroatië</v>
      </c>
      <c r="AT36" s="722" t="str">
        <f t="shared" ca="1" si="5"/>
        <v>B2</v>
      </c>
      <c r="AU36" s="721" t="str">
        <f ca="1">IF(AV36=$AR$11,$AQ$11,IF(AV36=$AR$12,$AQ$12,VLOOKUP(AV36,Voorblad!$X$67:$Z$98,2,FALSE)))</f>
        <v>Zwitserland</v>
      </c>
      <c r="AV36" s="722" t="str">
        <f t="shared" ca="1" si="6"/>
        <v>A4</v>
      </c>
      <c r="AW36" s="721" t="str">
        <f ca="1">IF(AX36=$AR$11,$AQ$11,IF(AX36=$AR$12,$AQ$12,VLOOKUP(AX36,Voorblad!$X$67:$Z$98,2,FALSE)))</f>
        <v>Kroatië</v>
      </c>
      <c r="AX36" s="722" t="str">
        <f t="shared" ca="1" si="7"/>
        <v>B2</v>
      </c>
      <c r="AY36" s="721" t="str">
        <f ca="1">IF(AZ36=$AR$11,$AQ$11,IF(AZ36=$AR$12,$AQ$12,VLOOKUP(AZ36,Voorblad!$X$67:$Z$98,2,FALSE)))</f>
        <v>Slowakije</v>
      </c>
      <c r="AZ36" s="722" t="str">
        <f t="shared" ca="1" si="8"/>
        <v>E2</v>
      </c>
      <c r="BA36" s="725">
        <f t="shared" si="9"/>
        <v>16</v>
      </c>
    </row>
    <row r="37" spans="1:53" ht="18.95" customHeight="1" x14ac:dyDescent="0.25">
      <c r="A37" s="163"/>
      <c r="B37" s="17"/>
      <c r="C37" s="1049"/>
      <c r="D37" s="17"/>
      <c r="E37" s="17"/>
      <c r="F37" s="17"/>
      <c r="G37" s="1327" t="str">
        <f ca="1">IF($AB$9=1," "&amp;AC37,IF($AB$9=2,IF(AC36="OO"," "&amp;AC37,""),""))</f>
        <v xml:space="preserve"> </v>
      </c>
      <c r="H37" s="1327"/>
      <c r="I37" s="1327"/>
      <c r="J37" s="1327"/>
      <c r="K37" s="1327"/>
      <c r="L37" s="1327"/>
      <c r="M37" s="16"/>
      <c r="N37" s="16"/>
      <c r="O37" s="1327" t="str">
        <f ca="1">IF($AB$9=1," "&amp;AE37,IF($AB$9=2,IF(AE36="OO"," "&amp;AE37,""),""))</f>
        <v xml:space="preserve"> </v>
      </c>
      <c r="P37" s="1327"/>
      <c r="Q37" s="1327"/>
      <c r="R37" s="1327"/>
      <c r="S37" s="1327"/>
      <c r="T37" s="1327"/>
      <c r="U37" s="1327"/>
      <c r="V37" s="17"/>
      <c r="W37" s="17"/>
      <c r="X37" s="17"/>
      <c r="Y37" s="17"/>
      <c r="Z37" s="61"/>
      <c r="AA37" s="17"/>
      <c r="AB37" s="5"/>
      <c r="AC37" s="1326" t="str">
        <f ca="1">AM96</f>
        <v/>
      </c>
      <c r="AD37" s="1326"/>
      <c r="AE37" s="1326" t="str">
        <f ca="1">AO96</f>
        <v/>
      </c>
      <c r="AF37" s="1326"/>
      <c r="AG37" s="755" t="str">
        <f>IF(AO36="FOUT","",IF(W36=1,AC36,IF(W36=2,AE36,AC36&amp;AE36)))</f>
        <v/>
      </c>
      <c r="AH37" s="449" t="str">
        <f>IF(AD36="LEEG","LEEG",IF(AD36= "FOUT","ONGELDIG",IF(LEN(SUBSTITUTE(SUBSTITUTE("|"&amp;$AD$36&amp;"|"&amp;$AF$36&amp;"|"&amp;$AD$38&amp;"|"&amp;$AF$38&amp;"|"&amp;$AD$40&amp;"|"&amp;$AF$40&amp;"|"&amp;$AD$42&amp;"|"&amp;$AF$42&amp;"|","LEEG","##"),AD36,"CONTROLE"))=$AJ$44,"GOED","DUBBEL")))</f>
        <v>LEEG</v>
      </c>
      <c r="AI37" s="5"/>
      <c r="AJ37" s="449" t="str">
        <f>IF(AF36="LEEG","LEEG",IF(AF36= "FOUT","ONGELDIG",IF(LEN(SUBSTITUTE(SUBSTITUTE("|"&amp;$AD$36&amp;"|"&amp;$AF$36&amp;"|"&amp;$AD$38&amp;"|"&amp;$AF$38&amp;"|"&amp;$AD$40&amp;"|"&amp;$AF$40&amp;"|"&amp;$AD$42&amp;"|"&amp;$AF$42&amp;"|","LEEG","##"),AF36,"CONTROLE"))=$AJ$44,"GOED","DUBBEL")))</f>
        <v>LEEG</v>
      </c>
      <c r="AK37" s="4"/>
      <c r="AL37" s="4"/>
      <c r="AM37" s="4"/>
      <c r="AN37" s="4"/>
      <c r="AO37" s="139"/>
      <c r="AP37" s="92"/>
      <c r="AQ37" s="303" t="str">
        <f ca="1">VLOOKUP(AR37,Voorblad!$X$67:$Z$98,2,FALSE)</f>
        <v>Oekraïne</v>
      </c>
      <c r="AR37" s="305" t="str">
        <f>AR33&amp;4</f>
        <v>E4</v>
      </c>
      <c r="AS37" s="721" t="str">
        <f ca="1">IF(AT37=$AR$11,$AQ$11,IF(AT37=$AR$12,$AQ$12,VLOOKUP(AT37,Voorblad!$X$67:$Z$98,2,FALSE)))</f>
        <v>Nederland</v>
      </c>
      <c r="AT37" s="722" t="str">
        <f t="shared" ca="1" si="5"/>
        <v>D2</v>
      </c>
      <c r="AU37" s="721" t="str">
        <f ca="1">IF(AV37=$AR$11,$AQ$11,IF(AV37=$AR$12,$AQ$12,VLOOKUP(AV37,Voorblad!$X$67:$Z$98,2,FALSE)))</f>
        <v/>
      </c>
      <c r="AV37" s="722" t="str">
        <f t="shared" ca="1" si="6"/>
        <v>??</v>
      </c>
      <c r="AW37" s="721" t="str">
        <f ca="1">IF(AX37=$AR$11,$AQ$11,IF(AX37=$AR$12,$AQ$12,VLOOKUP(AX37,Voorblad!$X$67:$Z$98,2,FALSE)))</f>
        <v>Portugal</v>
      </c>
      <c r="AX37" s="722" t="str">
        <f t="shared" ca="1" si="7"/>
        <v>F3</v>
      </c>
      <c r="AY37" s="721" t="str">
        <f ca="1">IF(AZ37=$AR$11,$AQ$11,IF(AZ37=$AR$12,$AQ$12,VLOOKUP(AZ37,Voorblad!$X$67:$Z$98,2,FALSE)))</f>
        <v/>
      </c>
      <c r="AZ37" s="722" t="str">
        <f t="shared" ca="1" si="8"/>
        <v>??</v>
      </c>
      <c r="BA37" s="725">
        <f t="shared" si="9"/>
        <v>18</v>
      </c>
    </row>
    <row r="38" spans="1:53" ht="15" customHeight="1" x14ac:dyDescent="0.25">
      <c r="A38" s="163"/>
      <c r="B38" s="17"/>
      <c r="C38" s="1049"/>
      <c r="D38" s="6">
        <f>D36+1</f>
        <v>46</v>
      </c>
      <c r="E38" s="11">
        <f>E28+3</f>
        <v>45478.875</v>
      </c>
      <c r="F38" s="135">
        <f>E38+TIME(0,0,0)</f>
        <v>45478.875</v>
      </c>
      <c r="G38" s="1331" t="str">
        <f ca="1">" "&amp;Taal04!$B$77&amp;" "&amp;D24</f>
        <v xml:space="preserve"> Win. Wedstrijd 41</v>
      </c>
      <c r="H38" s="1331"/>
      <c r="I38" s="1331"/>
      <c r="J38" s="1331"/>
      <c r="K38" s="1331"/>
      <c r="L38" s="704"/>
      <c r="M38" s="702"/>
      <c r="N38" s="703" t="str">
        <f>IF(AK38="LEEG","▼   ","")&amp;"-  "</f>
        <v xml:space="preserve">▼   -  </v>
      </c>
      <c r="O38" s="1331" t="str">
        <f ca="1">" "&amp;Taal04!$B$77&amp;" "&amp;D22</f>
        <v xml:space="preserve"> Win. Wedstrijd 42</v>
      </c>
      <c r="P38" s="1331"/>
      <c r="Q38" s="1331"/>
      <c r="R38" s="1331"/>
      <c r="S38" s="1331"/>
      <c r="T38" s="1331"/>
      <c r="U38" s="704"/>
      <c r="V38" s="703" t="str">
        <f>IF(AL38="LEEG","▼   ","")&amp;": "</f>
        <v xml:space="preserve">▼   : </v>
      </c>
      <c r="W38" s="1316"/>
      <c r="X38" s="1316"/>
      <c r="Y38" s="1316"/>
      <c r="Z38" s="1063"/>
      <c r="AA38" s="445"/>
      <c r="AB38" s="5"/>
      <c r="AC38" s="271" t="str">
        <f>IF(OR(L38="",ISBLANK(L38),L38=$AQ$11),"OO",IF(TYPE(VLOOKUP(L38,Taal02!$C$100:$D$419,2,FALSE))=16,"XX",VLOOKUP(L38,Taal02!$C$100:$D$419,2,FALSE)))</f>
        <v>OO</v>
      </c>
      <c r="AD38" s="219" t="str">
        <f>IF(AC38="OO","LEEG",IF(AC38="XX","FOUT",VLOOKUP(AC38,Voorblad!$X$65:$Z$98,3,FALSE)))</f>
        <v>LEEG</v>
      </c>
      <c r="AE38" s="271" t="str">
        <f>IF(OR(U38="",ISBLANK(U38),U38=$AQ$11),"OO",IF(TYPE(VLOOKUP(U38,Taal02!$C$100:$D$419,2,FALSE))=16,"XX",VLOOKUP(U38,Taal02!$C$100:$D$419,2,FALSE)))</f>
        <v>OO</v>
      </c>
      <c r="AF38" s="219" t="str">
        <f>IF(AE38="OO","LEEG",IF(AE38="XX","FOUT",VLOOKUP(AE38,Voorblad!$X$65:$Z$98,3,FALSE)))</f>
        <v>LEEG</v>
      </c>
      <c r="AG38" s="5"/>
      <c r="AH38" s="383" t="s">
        <v>2401</v>
      </c>
      <c r="AI38" s="10" t="s">
        <v>12</v>
      </c>
      <c r="AJ38" s="383" t="s">
        <v>6</v>
      </c>
      <c r="AK38" s="4" t="str">
        <f>IF(AD38="LEEG","LEEG",IF(TYPE(AD38)=2,IF(LEN(AD38)=2,IF(AND($AI$11=0,AH39="DUBBEL"),"ONGELDIG","GOED"),"ONGELDIG"),"ONGELDIG"))</f>
        <v>LEEG</v>
      </c>
      <c r="AL38" s="4" t="str">
        <f>IF(AF38="LEEG","LEEG",IF(TYPE(AF38)=2,IF(LEN(AF38)=2,IF(AND($AI$11=0,AJ39="DUBBEL"),"ONGELDIG","GOED"),"ONGELDIG"),"ONGELDIG"))</f>
        <v>LEEG</v>
      </c>
      <c r="AM38" s="4"/>
      <c r="AN38" s="4" t="str">
        <f>IF(ISBLANK(W38),"LEEG",IF(OR(W38=1,W38=2,W38=3),"GOED","ONGELDIG"))</f>
        <v>LEEG</v>
      </c>
      <c r="AO38" s="139" t="str">
        <f>IF(AK38="GOED",IF(AL38="GOED",IF(AN38="GOED",AD38&amp;AF38&amp;W38&amp;"|","FOUT"),"FOUT"),"FOUT")</f>
        <v>FOUT</v>
      </c>
      <c r="AP38" s="92">
        <f>LEN(AO38)</f>
        <v>4</v>
      </c>
      <c r="AQ38" s="297"/>
      <c r="AR38" s="299" t="s">
        <v>169</v>
      </c>
      <c r="AS38" s="721" t="str">
        <f ca="1">IF(AT38=$AR$11,$AQ$11,IF(AT38=$AR$12,$AQ$12,VLOOKUP(AT38,Voorblad!$X$67:$Z$98,2,FALSE)))</f>
        <v>Oekraïne</v>
      </c>
      <c r="AT38" s="722" t="str">
        <f t="shared" ca="1" si="5"/>
        <v>E4</v>
      </c>
      <c r="AU38" s="721" t="str">
        <f ca="1">IF(AV38=$AR$11,$AQ$11,IF(AV38=$AR$12,$AQ$12,VLOOKUP(AV38,Voorblad!$X$67:$Z$98,2,FALSE)))</f>
        <v/>
      </c>
      <c r="AV38" s="722" t="str">
        <f t="shared" ca="1" si="6"/>
        <v>??</v>
      </c>
      <c r="AW38" s="721" t="str">
        <f ca="1">IF(AX38=$AR$11,$AQ$11,IF(AX38=$AR$12,$AQ$12,VLOOKUP(AX38,Voorblad!$X$67:$Z$98,2,FALSE)))</f>
        <v>Schotland</v>
      </c>
      <c r="AX38" s="722" t="str">
        <f t="shared" ca="1" si="7"/>
        <v>A2</v>
      </c>
      <c r="AY38" s="721" t="str">
        <f ca="1">IF(AZ38=$AR$11,$AQ$11,IF(AZ38=$AR$12,$AQ$12,VLOOKUP(AZ38,Voorblad!$X$67:$Z$98,2,FALSE)))</f>
        <v/>
      </c>
      <c r="AZ38" s="722" t="str">
        <f t="shared" ca="1" si="8"/>
        <v>??</v>
      </c>
      <c r="BA38" s="725">
        <f t="shared" si="9"/>
        <v>20</v>
      </c>
    </row>
    <row r="39" spans="1:53" ht="18.95" customHeight="1" x14ac:dyDescent="0.25">
      <c r="A39" s="163"/>
      <c r="B39" s="17"/>
      <c r="C39" s="1049"/>
      <c r="D39" s="17"/>
      <c r="E39" s="17"/>
      <c r="F39" s="17"/>
      <c r="G39" s="1327" t="str">
        <f ca="1">IF($AB$9=1," "&amp;AC39,IF($AB$9=2,IF(AC38="OO"," "&amp;AC39,""),""))</f>
        <v xml:space="preserve"> </v>
      </c>
      <c r="H39" s="1327"/>
      <c r="I39" s="1327"/>
      <c r="J39" s="1327"/>
      <c r="K39" s="1327"/>
      <c r="L39" s="1327"/>
      <c r="M39" s="16"/>
      <c r="N39" s="16"/>
      <c r="O39" s="1327" t="str">
        <f ca="1">IF($AB$9=1," "&amp;AE39,IF($AB$9=2,IF(AE38="OO"," "&amp;AE39,""),""))</f>
        <v xml:space="preserve"> </v>
      </c>
      <c r="P39" s="1327"/>
      <c r="Q39" s="1327"/>
      <c r="R39" s="1327"/>
      <c r="S39" s="1327"/>
      <c r="T39" s="1327"/>
      <c r="U39" s="1327"/>
      <c r="V39" s="17"/>
      <c r="W39" s="17"/>
      <c r="X39" s="17"/>
      <c r="Y39" s="17"/>
      <c r="Z39" s="61"/>
      <c r="AA39" s="17"/>
      <c r="AB39" s="5"/>
      <c r="AC39" s="1326" t="str">
        <f ca="1">AM97</f>
        <v/>
      </c>
      <c r="AD39" s="1326"/>
      <c r="AE39" s="1326" t="str">
        <f ca="1">AO97</f>
        <v/>
      </c>
      <c r="AF39" s="1326"/>
      <c r="AG39" s="755" t="str">
        <f>IF(AO38="FOUT","",IF(W38=1,AC38,IF(W38=2,AE38,AC38&amp;AE38)))</f>
        <v/>
      </c>
      <c r="AH39" s="449" t="str">
        <f>IF(AD38="LEEG","LEEG",IF(AD38= "FOUT","ONGELDIG",IF(LEN(SUBSTITUTE(SUBSTITUTE("|"&amp;$AD$36&amp;"|"&amp;$AF$36&amp;"|"&amp;$AD$38&amp;"|"&amp;$AF$38&amp;"|"&amp;$AD$40&amp;"|"&amp;$AF$40&amp;"|"&amp;$AD$42&amp;"|"&amp;$AF$42&amp;"|","LEEG","##"),AD38,"CONTROLE"))=$AJ$44,"GOED","DUBBEL")))</f>
        <v>LEEG</v>
      </c>
      <c r="AI39" s="5"/>
      <c r="AJ39" s="449" t="str">
        <f>IF(AF38="LEEG","LEEG",IF(AF38= "FOUT","ONGELDIG",IF(LEN(SUBSTITUTE(SUBSTITUTE("|"&amp;$AD$36&amp;"|"&amp;$AF$36&amp;"|"&amp;$AD$38&amp;"|"&amp;$AF$38&amp;"|"&amp;$AD$40&amp;"|"&amp;$AF$40&amp;"|"&amp;$AD$42&amp;"|"&amp;$AF$42&amp;"|","LEEG","##"),AF38,"CONTROLE"))=$AJ$44,"GOED","DUBBEL")))</f>
        <v>LEEG</v>
      </c>
      <c r="AK39" s="4"/>
      <c r="AL39" s="4"/>
      <c r="AM39" s="4"/>
      <c r="AN39" s="4"/>
      <c r="AO39" s="139"/>
      <c r="AP39" s="92"/>
      <c r="AQ39" s="301" t="str">
        <f ca="1">VLOOKUP(AR39,Voorblad!$X$67:$Z$98,2,FALSE)</f>
        <v>Turkije</v>
      </c>
      <c r="AR39" s="302" t="str">
        <f>AR38&amp;1</f>
        <v>F1</v>
      </c>
      <c r="AS39" s="721" t="str">
        <f ca="1">IF(AT39=$AR$11,$AQ$11,IF(AT39=$AR$12,$AQ$12,VLOOKUP(AT39,Voorblad!$X$67:$Z$98,2,FALSE)))</f>
        <v>Oostenrijk</v>
      </c>
      <c r="AT39" s="722" t="str">
        <f t="shared" ca="1" si="5"/>
        <v>D3</v>
      </c>
      <c r="AU39" s="721" t="str">
        <f ca="1">IF(AV39=$AR$11,$AQ$11,IF(AV39=$AR$12,$AQ$12,VLOOKUP(AV39,Voorblad!$X$67:$Z$98,2,FALSE)))</f>
        <v/>
      </c>
      <c r="AV39" s="722" t="str">
        <f t="shared" ca="1" si="6"/>
        <v>??</v>
      </c>
      <c r="AW39" s="721" t="str">
        <f ca="1">IF(AX39=$AR$11,$AQ$11,IF(AX39=$AR$12,$AQ$12,VLOOKUP(AX39,Voorblad!$X$67:$Z$98,2,FALSE)))</f>
        <v>Servië</v>
      </c>
      <c r="AX39" s="722" t="str">
        <f t="shared" ca="1" si="7"/>
        <v>C3</v>
      </c>
      <c r="AY39" s="721" t="str">
        <f ca="1">IF(AZ39=$AR$11,$AQ$11,IF(AZ39=$AR$12,$AQ$12,VLOOKUP(AZ39,Voorblad!$X$67:$Z$98,2,FALSE)))</f>
        <v/>
      </c>
      <c r="AZ39" s="722" t="str">
        <f t="shared" ca="1" si="8"/>
        <v>??</v>
      </c>
      <c r="BA39" s="725">
        <f t="shared" si="9"/>
        <v>22</v>
      </c>
    </row>
    <row r="40" spans="1:53" ht="15" customHeight="1" x14ac:dyDescent="0.25">
      <c r="A40" s="163"/>
      <c r="B40" s="17"/>
      <c r="C40" s="1049"/>
      <c r="D40" s="6">
        <f>D38+2</f>
        <v>48</v>
      </c>
      <c r="E40" s="11">
        <f>E36+1</f>
        <v>45479.75</v>
      </c>
      <c r="F40" s="135">
        <f>E40+TIME(0,0,0)</f>
        <v>45479.75</v>
      </c>
      <c r="G40" s="1331" t="str">
        <f ca="1">" "&amp;Taal04!$B$77&amp;" "&amp;D18</f>
        <v xml:space="preserve"> Win. Wedstrijd 40</v>
      </c>
      <c r="H40" s="1331"/>
      <c r="I40" s="1331"/>
      <c r="J40" s="1331"/>
      <c r="K40" s="1331"/>
      <c r="L40" s="704"/>
      <c r="M40" s="702"/>
      <c r="N40" s="703" t="str">
        <f>IF(AK40="LEEG","▼   ","")&amp;"-  "</f>
        <v xml:space="preserve">▼   -  </v>
      </c>
      <c r="O40" s="1331" t="str">
        <f ca="1">" "&amp;Taal04!$B$77&amp;" "&amp;D14</f>
        <v xml:space="preserve"> Win. Wedstrijd 38</v>
      </c>
      <c r="P40" s="1331"/>
      <c r="Q40" s="1331"/>
      <c r="R40" s="1331"/>
      <c r="S40" s="1331"/>
      <c r="T40" s="1331"/>
      <c r="U40" s="704"/>
      <c r="V40" s="703" t="str">
        <f>IF(AL40="LEEG","▼   ","")&amp;": "</f>
        <v xml:space="preserve">▼   : </v>
      </c>
      <c r="W40" s="1316"/>
      <c r="X40" s="1316"/>
      <c r="Y40" s="1316"/>
      <c r="Z40" s="1063"/>
      <c r="AA40" s="445"/>
      <c r="AB40" s="5"/>
      <c r="AC40" s="271" t="str">
        <f>IF(OR(L40="",ISBLANK(L40),L40=$AQ$11),"OO",IF(TYPE(VLOOKUP(L40,Taal02!$C$100:$D$419,2,FALSE))=16,"XX",VLOOKUP(L40,Taal02!$C$100:$D$419,2,FALSE)))</f>
        <v>OO</v>
      </c>
      <c r="AD40" s="219" t="str">
        <f>IF(AC40="OO","LEEG",IF(AC40="XX","FOUT",VLOOKUP(AC40,Voorblad!$X$65:$Z$98,3,FALSE)))</f>
        <v>LEEG</v>
      </c>
      <c r="AE40" s="271" t="str">
        <f>IF(OR(U40="",ISBLANK(U40),U40=$AQ$11),"OO",IF(TYPE(VLOOKUP(U40,Taal02!$C$100:$D$419,2,FALSE))=16,"XX",VLOOKUP(U40,Taal02!$C$100:$D$419,2,FALSE)))</f>
        <v>OO</v>
      </c>
      <c r="AF40" s="219" t="str">
        <f>IF(AE40="OO","LEEG",IF(AE40="XX","FOUT",VLOOKUP(AE40,Voorblad!$X$65:$Z$98,3,FALSE)))</f>
        <v>LEEG</v>
      </c>
      <c r="AG40" s="5"/>
      <c r="AH40" s="383" t="s">
        <v>2404</v>
      </c>
      <c r="AI40" s="10" t="s">
        <v>12</v>
      </c>
      <c r="AJ40" s="383" t="s">
        <v>518</v>
      </c>
      <c r="AK40" s="4" t="str">
        <f>IF(AD40="LEEG","LEEG",IF(TYPE(AD40)=2,IF(LEN(AD40)=2,IF(AND($AI$11=0,AH41="DUBBEL"),"ONGELDIG","GOED"),"ONGELDIG"),"ONGELDIG"))</f>
        <v>LEEG</v>
      </c>
      <c r="AL40" s="4" t="str">
        <f>IF(AF40="LEEG","LEEG",IF(TYPE(AF40)=2,IF(LEN(AF40)=2,IF(AND($AI$11=0,AJ41="DUBBEL"),"ONGELDIG","GOED"),"ONGELDIG"),"ONGELDIG"))</f>
        <v>LEEG</v>
      </c>
      <c r="AM40" s="4"/>
      <c r="AN40" s="4" t="str">
        <f>IF(ISBLANK(W40),"LEEG",IF(OR(W40=1,W40=2,W40=3),"GOED","ONGELDIG"))</f>
        <v>LEEG</v>
      </c>
      <c r="AO40" s="139" t="str">
        <f>IF(AK40="GOED",IF(AL40="GOED",IF(AN40="GOED",AD40&amp;AF40&amp;W40&amp;"|","FOUT"),"FOUT"),"FOUT")</f>
        <v>FOUT</v>
      </c>
      <c r="AP40" s="92">
        <f>LEN(AO40)</f>
        <v>4</v>
      </c>
      <c r="AQ40" s="301" t="str">
        <f ca="1">VLOOKUP(AR40,Voorblad!$X$67:$Z$98,2,FALSE)</f>
        <v>Georgië</v>
      </c>
      <c r="AR40" s="302" t="str">
        <f>AR38&amp;2</f>
        <v>F2</v>
      </c>
      <c r="AS40" s="721" t="str">
        <f ca="1">IF(AT40=$AR$11,$AQ$11,IF(AT40=$AR$12,$AQ$12,VLOOKUP(AT40,Voorblad!$X$67:$Z$98,2,FALSE)))</f>
        <v>Polen</v>
      </c>
      <c r="AT40" s="722" t="str">
        <f t="shared" ca="1" si="5"/>
        <v>D1</v>
      </c>
      <c r="AU40" s="721" t="str">
        <f ca="1">IF(AV40=$AR$11,$AQ$11,IF(AV40=$AR$12,$AQ$12,VLOOKUP(AV40,Voorblad!$X$67:$Z$98,2,FALSE)))</f>
        <v/>
      </c>
      <c r="AV40" s="722" t="str">
        <f t="shared" ca="1" si="6"/>
        <v>??</v>
      </c>
      <c r="AW40" s="721" t="str">
        <f ca="1">IF(AX40=$AR$11,$AQ$11,IF(AX40=$AR$12,$AQ$12,VLOOKUP(AX40,Voorblad!$X$67:$Z$98,2,FALSE)))</f>
        <v>Slovenië</v>
      </c>
      <c r="AX40" s="722" t="str">
        <f t="shared" ca="1" si="7"/>
        <v>C1</v>
      </c>
      <c r="AY40" s="721" t="str">
        <f ca="1">IF(AZ40=$AR$11,$AQ$11,IF(AZ40=$AR$12,$AQ$12,VLOOKUP(AZ40,Voorblad!$X$67:$Z$98,2,FALSE)))</f>
        <v/>
      </c>
      <c r="AZ40" s="722" t="str">
        <f t="shared" ca="1" si="8"/>
        <v>??</v>
      </c>
      <c r="BA40" s="725">
        <f t="shared" si="9"/>
        <v>24</v>
      </c>
    </row>
    <row r="41" spans="1:53" ht="18.95" customHeight="1" x14ac:dyDescent="0.25">
      <c r="A41" s="163"/>
      <c r="B41" s="17"/>
      <c r="C41" s="1049"/>
      <c r="D41" s="17"/>
      <c r="E41" s="17"/>
      <c r="F41" s="17"/>
      <c r="G41" s="1327" t="str">
        <f ca="1">IF($AB$9=1," "&amp;AC41,IF($AB$9=2,IF(AC40="OO"," "&amp;AC41,""),""))</f>
        <v xml:space="preserve"> </v>
      </c>
      <c r="H41" s="1327"/>
      <c r="I41" s="1327"/>
      <c r="J41" s="1327"/>
      <c r="K41" s="1327"/>
      <c r="L41" s="1327"/>
      <c r="M41" s="16"/>
      <c r="N41" s="16"/>
      <c r="O41" s="1327" t="str">
        <f ca="1">IF($AB$9=1," "&amp;AE41,IF($AB$9=2,IF(AE40="OO"," "&amp;AE41,""),""))</f>
        <v xml:space="preserve"> </v>
      </c>
      <c r="P41" s="1327"/>
      <c r="Q41" s="1327"/>
      <c r="R41" s="1327"/>
      <c r="S41" s="1327"/>
      <c r="T41" s="1327"/>
      <c r="U41" s="1327"/>
      <c r="V41" s="17"/>
      <c r="W41" s="17"/>
      <c r="X41" s="17"/>
      <c r="Y41" s="17"/>
      <c r="Z41" s="61"/>
      <c r="AA41" s="17"/>
      <c r="AB41" s="5"/>
      <c r="AC41" s="1326" t="str">
        <f ca="1">AM98</f>
        <v/>
      </c>
      <c r="AD41" s="1326"/>
      <c r="AE41" s="1326" t="str">
        <f ca="1">AO98</f>
        <v/>
      </c>
      <c r="AF41" s="1326"/>
      <c r="AG41" s="755" t="str">
        <f>IF(AO40="FOUT","",IF(W40=1,AC40,IF(W40=2,AE40,AC40&amp;AE40)))</f>
        <v/>
      </c>
      <c r="AH41" s="449" t="str">
        <f>IF(AD40="LEEG","LEEG",IF(AD40= "FOUT","ONGELDIG",IF(LEN(SUBSTITUTE(SUBSTITUTE("|"&amp;$AD$36&amp;"|"&amp;$AF$36&amp;"|"&amp;$AD$38&amp;"|"&amp;$AF$38&amp;"|"&amp;$AD$40&amp;"|"&amp;$AF$40&amp;"|"&amp;$AD$42&amp;"|"&amp;$AF$42&amp;"|","LEEG","##"),AD40,"CONTROLE"))=$AJ$44,"GOED","DUBBEL")))</f>
        <v>LEEG</v>
      </c>
      <c r="AI41" s="5"/>
      <c r="AJ41" s="449" t="str">
        <f>IF(AF40="LEEG","LEEG",IF(AF40= "FOUT","ONGELDIG",IF(LEN(SUBSTITUTE(SUBSTITUTE("|"&amp;$AD$36&amp;"|"&amp;$AF$36&amp;"|"&amp;$AD$38&amp;"|"&amp;$AF$38&amp;"|"&amp;$AD$40&amp;"|"&amp;$AF$40&amp;"|"&amp;$AD$42&amp;"|"&amp;$AF$42&amp;"|","LEEG","##"),AF40,"CONTROLE"))=$AJ$44,"GOED","DUBBEL")))</f>
        <v>LEEG</v>
      </c>
      <c r="AK41" s="4"/>
      <c r="AL41" s="4"/>
      <c r="AM41" s="4"/>
      <c r="AN41" s="4"/>
      <c r="AO41" s="139"/>
      <c r="AP41" s="92"/>
      <c r="AQ41" s="301" t="str">
        <f ca="1">VLOOKUP(AR41,Voorblad!$X$67:$Z$98,2,FALSE)</f>
        <v>Portugal</v>
      </c>
      <c r="AR41" s="302" t="str">
        <f>AR38&amp;3</f>
        <v>F3</v>
      </c>
      <c r="AS41" s="721" t="str">
        <f ca="1">IF(AT41=$AR$11,$AQ$11,IF(AT41=$AR$12,$AQ$12,VLOOKUP(AT41,Voorblad!$X$67:$Z$98,2,FALSE)))</f>
        <v>Portugal</v>
      </c>
      <c r="AT41" s="722" t="str">
        <f t="shared" ca="1" si="5"/>
        <v>F3</v>
      </c>
      <c r="AU41" s="721" t="str">
        <f ca="1">IF(AV41=$AR$11,$AQ$11,IF(AV41=$AR$12,$AQ$12,VLOOKUP(AV41,Voorblad!$X$67:$Z$98,2,FALSE)))</f>
        <v/>
      </c>
      <c r="AV41" s="722" t="str">
        <f t="shared" ca="1" si="6"/>
        <v>??</v>
      </c>
      <c r="AW41" s="721" t="str">
        <f ca="1">IF(AX41=$AR$11,$AQ$11,IF(AX41=$AR$12,$AQ$12,VLOOKUP(AX41,Voorblad!$X$67:$Z$98,2,FALSE)))</f>
        <v>Spanje</v>
      </c>
      <c r="AX41" s="722" t="str">
        <f t="shared" ca="1" si="7"/>
        <v>B1</v>
      </c>
      <c r="AY41" s="721" t="str">
        <f ca="1">IF(AZ41=$AR$11,$AQ$11,IF(AZ41=$AR$12,$AQ$12,VLOOKUP(AZ41,Voorblad!$X$67:$Z$98,2,FALSE)))</f>
        <v/>
      </c>
      <c r="AZ41" s="722" t="str">
        <f t="shared" ca="1" si="8"/>
        <v>??</v>
      </c>
      <c r="BA41" s="725">
        <f t="shared" si="9"/>
        <v>26</v>
      </c>
    </row>
    <row r="42" spans="1:53" ht="15" customHeight="1" x14ac:dyDescent="0.25">
      <c r="A42" s="163"/>
      <c r="B42" s="17"/>
      <c r="C42" s="1049"/>
      <c r="D42" s="6">
        <f>D40-1</f>
        <v>47</v>
      </c>
      <c r="E42" s="11">
        <f>E38+1</f>
        <v>45479.875</v>
      </c>
      <c r="F42" s="135">
        <f>E42+TIME(0,0,0)</f>
        <v>45479.875</v>
      </c>
      <c r="G42" s="1331" t="str">
        <f ca="1">" "&amp;Taal04!$B$77&amp;" "&amp;D26</f>
        <v xml:space="preserve"> Win. Wedstrijd 43</v>
      </c>
      <c r="H42" s="1331"/>
      <c r="I42" s="1331"/>
      <c r="J42" s="1331"/>
      <c r="K42" s="1331"/>
      <c r="L42" s="704"/>
      <c r="M42" s="702"/>
      <c r="N42" s="703" t="str">
        <f>IF(AK42="LEEG","▼   ","")&amp;"-  "</f>
        <v xml:space="preserve">▼   -  </v>
      </c>
      <c r="O42" s="1331" t="str">
        <f ca="1">" "&amp;Taal04!$B$77&amp;" "&amp;D28</f>
        <v xml:space="preserve"> Win. Wedstrijd 44</v>
      </c>
      <c r="P42" s="1331"/>
      <c r="Q42" s="1331"/>
      <c r="R42" s="1331"/>
      <c r="S42" s="1331"/>
      <c r="T42" s="1331"/>
      <c r="U42" s="704"/>
      <c r="V42" s="703" t="str">
        <f>IF(AL42="LEEG","▼   ","")&amp;": "</f>
        <v xml:space="preserve">▼   : </v>
      </c>
      <c r="W42" s="1316"/>
      <c r="X42" s="1316"/>
      <c r="Y42" s="1316"/>
      <c r="Z42" s="1063"/>
      <c r="AA42" s="445"/>
      <c r="AB42" s="5"/>
      <c r="AC42" s="271" t="str">
        <f>IF(OR(L42="",ISBLANK(L42),L42=$AQ$11),"OO",IF(TYPE(VLOOKUP(L42,Taal02!$C$100:$D$419,2,FALSE))=16,"XX",VLOOKUP(L42,Taal02!$C$100:$D$419,2,FALSE)))</f>
        <v>OO</v>
      </c>
      <c r="AD42" s="219" t="str">
        <f>IF(AC42="OO","LEEG",IF(AC42="XX","FOUT",VLOOKUP(AC42,Voorblad!$X$65:$Z$98,3,FALSE)))</f>
        <v>LEEG</v>
      </c>
      <c r="AE42" s="271" t="str">
        <f>IF(OR(U42="",ISBLANK(U42),U42=$AQ$11),"OO",IF(TYPE(VLOOKUP(U42,Taal02!$C$100:$D$419,2,FALSE))=16,"XX",VLOOKUP(U42,Taal02!$C$100:$D$419,2,FALSE)))</f>
        <v>OO</v>
      </c>
      <c r="AF42" s="219" t="str">
        <f>IF(AE42="OO","LEEG",IF(AE42="XX","FOUT",VLOOKUP(AE42,Voorblad!$X$65:$Z$98,3,FALSE)))</f>
        <v>LEEG</v>
      </c>
      <c r="AG42" s="5"/>
      <c r="AH42" s="383" t="s">
        <v>2408</v>
      </c>
      <c r="AI42" s="10" t="s">
        <v>12</v>
      </c>
      <c r="AJ42" s="383" t="s">
        <v>2407</v>
      </c>
      <c r="AK42" s="4" t="str">
        <f>IF(AD42="LEEG","LEEG",IF(TYPE(AD42)=2,IF(LEN(AD42)=2,IF(AND($AI$11=0,AH43="DUBBEL"),"ONGELDIG","GOED"),"ONGELDIG"),"ONGELDIG"))</f>
        <v>LEEG</v>
      </c>
      <c r="AL42" s="4" t="str">
        <f>IF(AF42="LEEG","LEEG",IF(TYPE(AF42)=2,IF(LEN(AF42)=2,IF(AND($AI$11=0,AJ43="DUBBEL"),"ONGELDIG","GOED"),"ONGELDIG"),"ONGELDIG"))</f>
        <v>LEEG</v>
      </c>
      <c r="AM42" s="4"/>
      <c r="AN42" s="4" t="str">
        <f>IF(ISBLANK(W42),"LEEG",IF(OR(W42=1,W42=2,W42=3),"GOED","ONGELDIG"))</f>
        <v>LEEG</v>
      </c>
      <c r="AO42" s="139" t="str">
        <f>IF(AK42="GOED",IF(AL42="GOED",IF(AN42="GOED",AD42&amp;AF42&amp;W42&amp;"|","FOUT"),"FOUT"),"FOUT")</f>
        <v>FOUT</v>
      </c>
      <c r="AP42" s="92">
        <f>LEN(AO42)</f>
        <v>4</v>
      </c>
      <c r="AQ42" s="303" t="str">
        <f ca="1">VLOOKUP(AR42,Voorblad!$X$67:$Z$98,2,FALSE)</f>
        <v>Tsjechië</v>
      </c>
      <c r="AR42" s="305" t="str">
        <f>AR38&amp;4</f>
        <v>F4</v>
      </c>
      <c r="AS42" s="721" t="str">
        <f ca="1">IF(AT42=$AR$11,$AQ$11,IF(AT42=$AR$12,$AQ$12,VLOOKUP(AT42,Voorblad!$X$67:$Z$98,2,FALSE)))</f>
        <v>Roemenië</v>
      </c>
      <c r="AT42" s="722" t="str">
        <f t="shared" ca="1" si="5"/>
        <v>E3</v>
      </c>
      <c r="AU42" s="721" t="str">
        <f ca="1">IF(AV42=$AR$11,$AQ$11,IF(AV42=$AR$12,$AQ$12,VLOOKUP(AV42,Voorblad!$X$67:$Z$98,2,FALSE)))</f>
        <v/>
      </c>
      <c r="AV42" s="722" t="str">
        <f t="shared" ca="1" si="6"/>
        <v>??</v>
      </c>
      <c r="AW42" s="721" t="str">
        <f ca="1">IF(AX42=$AR$11,$AQ$11,IF(AX42=$AR$12,$AQ$12,VLOOKUP(AX42,Voorblad!$X$67:$Z$98,2,FALSE)))</f>
        <v>Tsjechië</v>
      </c>
      <c r="AX42" s="722" t="str">
        <f t="shared" ca="1" si="7"/>
        <v>F4</v>
      </c>
      <c r="AY42" s="721" t="str">
        <f ca="1">IF(AZ42=$AR$11,$AQ$11,IF(AZ42=$AR$12,$AQ$12,VLOOKUP(AZ42,Voorblad!$X$67:$Z$98,2,FALSE)))</f>
        <v/>
      </c>
      <c r="AZ42" s="722" t="str">
        <f t="shared" ca="1" si="8"/>
        <v>??</v>
      </c>
      <c r="BA42" s="725">
        <f t="shared" si="9"/>
        <v>28</v>
      </c>
    </row>
    <row r="43" spans="1:53" ht="15" customHeight="1" x14ac:dyDescent="0.25">
      <c r="A43" s="163"/>
      <c r="B43" s="17"/>
      <c r="C43" s="1049"/>
      <c r="D43" s="17"/>
      <c r="E43" s="17"/>
      <c r="F43" s="17"/>
      <c r="G43" s="1327" t="str">
        <f ca="1">IF($AB$9=1," "&amp;AC43,IF($AB$9=2,IF(AC42="OO"," "&amp;AC43,""),""))</f>
        <v xml:space="preserve"> </v>
      </c>
      <c r="H43" s="1327"/>
      <c r="I43" s="1327"/>
      <c r="J43" s="1327"/>
      <c r="K43" s="1327"/>
      <c r="L43" s="1327"/>
      <c r="M43" s="16"/>
      <c r="N43" s="16"/>
      <c r="O43" s="1327" t="str">
        <f ca="1">IF($AB$9=1," "&amp;AE43,IF($AB$9=2,IF(AE42="OO"," "&amp;AE43,""),""))</f>
        <v xml:space="preserve"> </v>
      </c>
      <c r="P43" s="1327"/>
      <c r="Q43" s="1327"/>
      <c r="R43" s="1327"/>
      <c r="S43" s="1327"/>
      <c r="T43" s="1327"/>
      <c r="U43" s="1327"/>
      <c r="V43" s="17"/>
      <c r="W43" s="17"/>
      <c r="X43" s="17"/>
      <c r="Y43" s="17"/>
      <c r="Z43" s="61"/>
      <c r="AA43" s="17"/>
      <c r="AB43" s="5"/>
      <c r="AC43" s="1326" t="str">
        <f ca="1">AM99</f>
        <v/>
      </c>
      <c r="AD43" s="1326"/>
      <c r="AE43" s="1326" t="str">
        <f ca="1">AO99</f>
        <v/>
      </c>
      <c r="AF43" s="1326"/>
      <c r="AG43" s="755" t="str">
        <f>IF(AO42="FOUT","",IF(W42=1,AC42,IF(W42=2,AE42,AC42&amp;AE42)))</f>
        <v/>
      </c>
      <c r="AH43" s="449" t="str">
        <f>IF(AD42="LEEG","LEEG",IF(AD42= "FOUT","ONGELDIG",IF(LEN(SUBSTITUTE(SUBSTITUTE("|"&amp;$AD$36&amp;"|"&amp;$AF$36&amp;"|"&amp;$AD$38&amp;"|"&amp;$AF$38&amp;"|"&amp;$AD$40&amp;"|"&amp;$AF$40&amp;"|"&amp;$AD$42&amp;"|"&amp;$AF$42&amp;"|","LEEG","##"),AD42,"CONTROLE"))=$AJ$44,"GOED","DUBBEL")))</f>
        <v>LEEG</v>
      </c>
      <c r="AI43" s="5"/>
      <c r="AJ43" s="449" t="str">
        <f>IF(AF42="LEEG","LEEG",IF(AF42= "FOUT","ONGELDIG",IF(LEN(SUBSTITUTE(SUBSTITUTE("|"&amp;$AD$36&amp;"|"&amp;$AF$36&amp;"|"&amp;$AD$38&amp;"|"&amp;$AF$38&amp;"|"&amp;$AD$40&amp;"|"&amp;$AF$40&amp;"|"&amp;$AD$42&amp;"|"&amp;$AF$42&amp;"|","LEEG","##"),AF42,"CONTROLE"))=$AJ$44,"GOED","DUBBEL")))</f>
        <v>LEEG</v>
      </c>
      <c r="AK43" s="1"/>
      <c r="AL43" s="1"/>
      <c r="AM43" s="1"/>
      <c r="AN43" s="1"/>
      <c r="AO43" s="139"/>
      <c r="AP43" s="92"/>
      <c r="AQ43" s="297"/>
      <c r="AR43" s="299" t="s">
        <v>168</v>
      </c>
      <c r="AS43" s="721" t="str">
        <f ca="1">IF(AT43=$AR$11,$AQ$11,IF(AT43=$AR$12,$AQ$12,VLOOKUP(AT43,Voorblad!$X$67:$Z$98,2,FALSE)))</f>
        <v>Schotland</v>
      </c>
      <c r="AT43" s="722" t="str">
        <f t="shared" ca="1" si="5"/>
        <v>A2</v>
      </c>
      <c r="AU43" s="721" t="str">
        <f ca="1">IF(AV43=$AR$11,$AQ$11,IF(AV43=$AR$12,$AQ$12,VLOOKUP(AV43,Voorblad!$X$67:$Z$98,2,FALSE)))</f>
        <v/>
      </c>
      <c r="AV43" s="722" t="str">
        <f t="shared" ca="1" si="6"/>
        <v>??</v>
      </c>
      <c r="AW43" s="721" t="str">
        <f ca="1">IF(AX43=$AR$11,$AQ$11,IF(AX43=$AR$12,$AQ$12,VLOOKUP(AX43,Voorblad!$X$67:$Z$98,2,FALSE)))</f>
        <v>Turkije</v>
      </c>
      <c r="AX43" s="722" t="str">
        <f t="shared" ca="1" si="7"/>
        <v>F1</v>
      </c>
      <c r="AY43" s="721" t="str">
        <f ca="1">IF(AZ43=$AR$11,$AQ$11,IF(AZ43=$AR$12,$AQ$12,VLOOKUP(AZ43,Voorblad!$X$67:$Z$98,2,FALSE)))</f>
        <v/>
      </c>
      <c r="AZ43" s="722" t="str">
        <f t="shared" ca="1" si="8"/>
        <v>??</v>
      </c>
      <c r="BA43" s="725">
        <f t="shared" si="9"/>
        <v>30</v>
      </c>
    </row>
    <row r="44" spans="1:53" ht="24" customHeight="1" x14ac:dyDescent="0.4">
      <c r="A44" s="163"/>
      <c r="B44" s="17"/>
      <c r="C44" s="1049"/>
      <c r="D44" s="908" t="str">
        <f ca="1">Taal04!$B$29</f>
        <v>Halve finale</v>
      </c>
      <c r="E44" s="17"/>
      <c r="F44" s="17"/>
      <c r="G44" s="17"/>
      <c r="H44" s="17"/>
      <c r="I44" s="17"/>
      <c r="J44" s="17"/>
      <c r="K44" s="17"/>
      <c r="L44" s="17"/>
      <c r="M44" s="17"/>
      <c r="N44" s="17"/>
      <c r="O44" s="17"/>
      <c r="P44" s="17"/>
      <c r="Q44" s="17"/>
      <c r="R44" s="17"/>
      <c r="S44" s="17"/>
      <c r="T44" s="17"/>
      <c r="U44" s="17"/>
      <c r="V44" s="17"/>
      <c r="W44" s="246"/>
      <c r="X44" s="246"/>
      <c r="Y44" s="246"/>
      <c r="Z44" s="61"/>
      <c r="AA44" s="17"/>
      <c r="AB44" s="5"/>
      <c r="AC44" s="306"/>
      <c r="AD44" s="306"/>
      <c r="AE44" s="306"/>
      <c r="AF44" s="306"/>
      <c r="AG44" s="5"/>
      <c r="AH44" s="5"/>
      <c r="AI44" s="5"/>
      <c r="AJ44" s="914">
        <f>8*3+1+LEN("CONTROLE")-2</f>
        <v>31</v>
      </c>
      <c r="AK44" s="1313" t="s">
        <v>20</v>
      </c>
      <c r="AL44" s="1313"/>
      <c r="AM44" s="1313"/>
      <c r="AN44" s="1313"/>
      <c r="AO44" s="1313"/>
      <c r="AP44" s="92"/>
      <c r="AQ44" s="301" t="str">
        <f ca="1">VLOOKUP(AR44,Voorblad!$X$67:$Z$98,2,FALSE)</f>
        <v>ZZZ_land_G1</v>
      </c>
      <c r="AR44" s="302" t="str">
        <f>AR43&amp;1</f>
        <v>G1</v>
      </c>
      <c r="AS44" s="721" t="str">
        <f ca="1">IF(AT44=$AR$11,$AQ$11,IF(AT44=$AR$12,$AQ$12,VLOOKUP(AT44,Voorblad!$X$67:$Z$98,2,FALSE)))</f>
        <v>Slowakije</v>
      </c>
      <c r="AT44" s="722" t="str">
        <f t="shared" ca="1" si="5"/>
        <v>E2</v>
      </c>
      <c r="AU44" s="721" t="str">
        <f ca="1">IF(AV44=$AR$11,$AQ$11,IF(AV44=$AR$12,$AQ$12,VLOOKUP(AV44,Voorblad!$X$67:$Z$98,2,FALSE)))</f>
        <v/>
      </c>
      <c r="AV44" s="722" t="str">
        <f t="shared" ca="1" si="6"/>
        <v>??</v>
      </c>
      <c r="AW44" s="721" t="str">
        <f ca="1">IF(AX44=$AR$11,$AQ$11,IF(AX44=$AR$12,$AQ$12,VLOOKUP(AX44,Voorblad!$X$67:$Z$98,2,FALSE)))</f>
        <v>Zwitserland</v>
      </c>
      <c r="AX44" s="722" t="str">
        <f t="shared" ca="1" si="7"/>
        <v>A4</v>
      </c>
      <c r="AY44" s="721" t="str">
        <f ca="1">IF(AZ44=$AR$11,$AQ$11,IF(AZ44=$AR$12,$AQ$12,VLOOKUP(AZ44,Voorblad!$X$67:$Z$98,2,FALSE)))</f>
        <v/>
      </c>
      <c r="AZ44" s="722" t="str">
        <f t="shared" ca="1" si="8"/>
        <v>??</v>
      </c>
      <c r="BA44" s="725">
        <f t="shared" si="9"/>
        <v>32</v>
      </c>
    </row>
    <row r="45" spans="1:53" ht="15" customHeight="1" x14ac:dyDescent="0.25">
      <c r="A45" s="163"/>
      <c r="B45" s="17"/>
      <c r="C45" s="1049"/>
      <c r="D45" s="17"/>
      <c r="E45" s="1039" t="str">
        <f ca="1">Taal04!$B$20</f>
        <v>Datum</v>
      </c>
      <c r="F45" s="1039" t="str">
        <f ca="1">Taal04!$B$21</f>
        <v>Tijd</v>
      </c>
      <c r="G45" s="1315" t="str">
        <f ca="1">Taal04!$B$22</f>
        <v>Wedstrijd</v>
      </c>
      <c r="H45" s="1315"/>
      <c r="I45" s="1315"/>
      <c r="J45" s="1315"/>
      <c r="K45" s="1315"/>
      <c r="L45" s="1315"/>
      <c r="M45" s="1315"/>
      <c r="N45" s="1315"/>
      <c r="O45" s="1315"/>
      <c r="P45" s="1315"/>
      <c r="Q45" s="1315"/>
      <c r="R45" s="1315"/>
      <c r="S45" s="1315"/>
      <c r="T45" s="1315"/>
      <c r="U45" s="1315"/>
      <c r="V45" s="17"/>
      <c r="W45" s="1332" t="str">
        <f ca="1">Taal04!$B$23</f>
        <v>TOTO</v>
      </c>
      <c r="X45" s="1333"/>
      <c r="Y45" s="1333"/>
      <c r="Z45" s="61"/>
      <c r="AA45" s="17"/>
      <c r="AB45" s="5"/>
      <c r="AC45" s="219" t="s">
        <v>18</v>
      </c>
      <c r="AD45" s="219" t="s">
        <v>19</v>
      </c>
      <c r="AE45" s="219" t="s">
        <v>18</v>
      </c>
      <c r="AF45" s="219" t="s">
        <v>19</v>
      </c>
      <c r="AG45" s="5"/>
      <c r="AH45" s="10" t="s">
        <v>73</v>
      </c>
      <c r="AI45" s="5"/>
      <c r="AJ45" s="10" t="s">
        <v>73</v>
      </c>
      <c r="AK45" s="4" t="s">
        <v>24</v>
      </c>
      <c r="AL45" s="4" t="s">
        <v>25</v>
      </c>
      <c r="AM45" s="4"/>
      <c r="AN45" s="4" t="s">
        <v>234</v>
      </c>
      <c r="AO45" s="139" t="s">
        <v>0</v>
      </c>
      <c r="AP45" s="92"/>
      <c r="AQ45" s="301" t="str">
        <f ca="1">VLOOKUP(AR45,Voorblad!$X$67:$Z$98,2,FALSE)</f>
        <v>ZZZ_land_G2</v>
      </c>
      <c r="AR45" s="302" t="str">
        <f>AR43&amp;2</f>
        <v>G2</v>
      </c>
      <c r="AS45" s="721" t="str">
        <f ca="1">IF(AT45=$AR$11,$AQ$11,IF(AT45=$AR$12,$AQ$12,VLOOKUP(AT45,Voorblad!$X$67:$Z$98,2,FALSE)))</f>
        <v>Spanje</v>
      </c>
      <c r="AT45" s="722" t="str">
        <f t="shared" ca="1" si="5"/>
        <v>B1</v>
      </c>
      <c r="AU45" s="721" t="str">
        <f ca="1">IF(AV45=$AR$11,$AQ$11,IF(AV45=$AR$12,$AQ$12,VLOOKUP(AV45,Voorblad!$X$67:$Z$98,2,FALSE)))</f>
        <v/>
      </c>
      <c r="AV45" s="722" t="str">
        <f t="shared" ca="1" si="6"/>
        <v>??</v>
      </c>
      <c r="AW45" s="721" t="str">
        <f ca="1">IF(AX45=$AR$11,$AQ$11,IF(AX45=$AR$12,$AQ$12,VLOOKUP(AX45,Voorblad!$X$67:$Z$98,2,FALSE)))</f>
        <v/>
      </c>
      <c r="AX45" s="722" t="str">
        <f t="shared" ca="1" si="7"/>
        <v>??</v>
      </c>
      <c r="AY45" s="721" t="str">
        <f ca="1">IF(AZ45=$AR$11,$AQ$11,IF(AZ45=$AR$12,$AQ$12,VLOOKUP(AZ45,Voorblad!$X$67:$Z$98,2,FALSE)))</f>
        <v/>
      </c>
      <c r="AZ45" s="722" t="str">
        <f t="shared" ca="1" si="8"/>
        <v>??</v>
      </c>
      <c r="BA45" s="725">
        <f t="shared" si="9"/>
        <v>34</v>
      </c>
    </row>
    <row r="46" spans="1:53" ht="15" customHeight="1" x14ac:dyDescent="0.25">
      <c r="A46" s="163"/>
      <c r="B46" s="17"/>
      <c r="C46" s="1049"/>
      <c r="D46" s="6">
        <f>D42+2</f>
        <v>49</v>
      </c>
      <c r="E46" s="11">
        <f>E42+3</f>
        <v>45482.875</v>
      </c>
      <c r="F46" s="135">
        <f>E46+TIME(0,0,0)</f>
        <v>45482.875</v>
      </c>
      <c r="G46" s="1331" t="str">
        <f ca="1">" "&amp;Taal04!$B$77&amp;" "&amp;D36</f>
        <v xml:space="preserve"> Win. Wedstrijd 45</v>
      </c>
      <c r="H46" s="1331"/>
      <c r="I46" s="1331"/>
      <c r="J46" s="1331"/>
      <c r="K46" s="1331"/>
      <c r="L46" s="704"/>
      <c r="M46" s="702"/>
      <c r="N46" s="703" t="str">
        <f>IF(AK46="LEEG","▼   ","")&amp;"-  "</f>
        <v xml:space="preserve">▼   -  </v>
      </c>
      <c r="O46" s="1331" t="str">
        <f ca="1">" "&amp;Taal04!$B$77&amp;" "&amp;D38</f>
        <v xml:space="preserve"> Win. Wedstrijd 46</v>
      </c>
      <c r="P46" s="1331"/>
      <c r="Q46" s="1331"/>
      <c r="R46" s="1331"/>
      <c r="S46" s="1331"/>
      <c r="T46" s="1331"/>
      <c r="U46" s="704"/>
      <c r="V46" s="703" t="str">
        <f>IF(AL46="LEEG","▼   ","")&amp;": "</f>
        <v xml:space="preserve">▼   : </v>
      </c>
      <c r="W46" s="1316"/>
      <c r="X46" s="1316"/>
      <c r="Y46" s="1316"/>
      <c r="Z46" s="61"/>
      <c r="AA46" s="17"/>
      <c r="AB46" s="5"/>
      <c r="AC46" s="271" t="str">
        <f>IF(OR(L46="",ISBLANK(L46),L46=$AQ$11),"OO",IF(TYPE(VLOOKUP(L46,Taal02!$C$100:$D$419,2,FALSE))=16,"XX",VLOOKUP(L46,Taal02!$C$100:$D$419,2,FALSE)))</f>
        <v>OO</v>
      </c>
      <c r="AD46" s="219" t="str">
        <f>IF(AC46="OO","LEEG",IF(AC46="XX","FOUT",VLOOKUP(AC46,Voorblad!$X$65:$Z$98,3,FALSE)))</f>
        <v>LEEG</v>
      </c>
      <c r="AE46" s="271" t="str">
        <f>IF(OR(U46="",ISBLANK(U46),U46=$AQ$11),"OO",IF(TYPE(VLOOKUP(U46,Taal02!$C$100:$D$419,2,FALSE))=16,"XX",VLOOKUP(U46,Taal02!$C$100:$D$419,2,FALSE)))</f>
        <v>OO</v>
      </c>
      <c r="AF46" s="219" t="str">
        <f>IF(AE46="OO","LEEG",IF(AE46="XX","FOUT",VLOOKUP(AE46,Voorblad!$X$65:$Z$98,3,FALSE)))</f>
        <v>LEEG</v>
      </c>
      <c r="AG46" s="5"/>
      <c r="AH46" s="383" t="s">
        <v>2387</v>
      </c>
      <c r="AI46" s="10" t="s">
        <v>12</v>
      </c>
      <c r="AJ46" s="383" t="s">
        <v>2387</v>
      </c>
      <c r="AK46" s="4" t="str">
        <f>IF(AD46="LEEG","LEEG",IF(TYPE(AD46)=2,IF(LEN(AD46)=2,IF(AND($AI$11=0,AH47="DUBBEL"),"ONGELDIG","GOED"),"ONGELDIG"),"ONGELDIG"))</f>
        <v>LEEG</v>
      </c>
      <c r="AL46" s="4" t="str">
        <f>IF(AF46="LEEG","LEEG",IF(TYPE(AF46)=2,IF(LEN(AF46)=2,IF(AND($AI$11=0,AJ47="DUBBEL"),"ONGELDIG","GOED"),"ONGELDIG"),"ONGELDIG"))</f>
        <v>LEEG</v>
      </c>
      <c r="AM46" s="4"/>
      <c r="AN46" s="4" t="str">
        <f>IF(ISBLANK(W46),"LEEG",IF(OR(W46=1,W46=2,W46=3),"GOED","ONGELDIG"))</f>
        <v>LEEG</v>
      </c>
      <c r="AO46" s="139" t="str">
        <f>IF(AK46="GOED",IF(AL46="GOED",IF(AN46="GOED",AD46&amp;AF46&amp;W46&amp;"|","FOUT"),"FOUT"),"FOUT")</f>
        <v>FOUT</v>
      </c>
      <c r="AP46" s="92">
        <f>LEN(AO46)</f>
        <v>4</v>
      </c>
      <c r="AQ46" s="301" t="str">
        <f ca="1">VLOOKUP(AR46,Voorblad!$X$67:$Z$98,2,FALSE)</f>
        <v>ZZZ_land_G3</v>
      </c>
      <c r="AR46" s="302" t="str">
        <f>AR43&amp;3</f>
        <v>G3</v>
      </c>
      <c r="AS46" s="721" t="str">
        <f ca="1">IF(AT46=$AR$11,$AQ$11,IF(AT46=$AR$12,$AQ$12,VLOOKUP(AT46,Voorblad!$X$67:$Z$98,2,FALSE)))</f>
        <v>Tsjechië</v>
      </c>
      <c r="AT46" s="722" t="str">
        <f t="shared" ca="1" si="5"/>
        <v>F4</v>
      </c>
      <c r="AU46" s="721" t="str">
        <f ca="1">IF(AV46=$AR$11,$AQ$11,IF(AV46=$AR$12,$AQ$12,VLOOKUP(AV46,Voorblad!$X$67:$Z$98,2,FALSE)))</f>
        <v/>
      </c>
      <c r="AV46" s="722" t="str">
        <f t="shared" ca="1" si="6"/>
        <v>??</v>
      </c>
      <c r="AW46" s="721" t="str">
        <f ca="1">IF(AX46=$AR$11,$AQ$11,IF(AX46=$AR$12,$AQ$12,VLOOKUP(AX46,Voorblad!$X$67:$Z$98,2,FALSE)))</f>
        <v/>
      </c>
      <c r="AX46" s="722" t="str">
        <f t="shared" ca="1" si="7"/>
        <v>??</v>
      </c>
      <c r="AY46" s="721" t="str">
        <f ca="1">IF(AZ46=$AR$11,$AQ$11,IF(AZ46=$AR$12,$AQ$12,VLOOKUP(AZ46,Voorblad!$X$67:$Z$98,2,FALSE)))</f>
        <v/>
      </c>
      <c r="AZ46" s="722" t="str">
        <f t="shared" ca="1" si="8"/>
        <v>??</v>
      </c>
      <c r="BA46" s="725">
        <f t="shared" si="9"/>
        <v>36</v>
      </c>
    </row>
    <row r="47" spans="1:53" ht="18.95" customHeight="1" x14ac:dyDescent="0.25">
      <c r="A47" s="163"/>
      <c r="B47" s="17"/>
      <c r="C47" s="1049"/>
      <c r="D47" s="17"/>
      <c r="E47" s="17"/>
      <c r="F47" s="17"/>
      <c r="G47" s="1327" t="str">
        <f ca="1">IF($AB$9=1," "&amp;AC47,IF($AB$9=2,IF(AC46="OO"," "&amp;AC47,""),""))</f>
        <v xml:space="preserve"> </v>
      </c>
      <c r="H47" s="1327"/>
      <c r="I47" s="1327"/>
      <c r="J47" s="1327"/>
      <c r="K47" s="1327"/>
      <c r="L47" s="1327"/>
      <c r="M47" s="16"/>
      <c r="N47" s="16"/>
      <c r="O47" s="1327" t="str">
        <f ca="1">IF($AB$9=1," "&amp;AE47,IF($AB$9=2,IF(AE46="OO"," "&amp;AE47,""),""))</f>
        <v xml:space="preserve"> </v>
      </c>
      <c r="P47" s="1327"/>
      <c r="Q47" s="1327"/>
      <c r="R47" s="1327"/>
      <c r="S47" s="1327"/>
      <c r="T47" s="1327"/>
      <c r="U47" s="1327"/>
      <c r="V47" s="17"/>
      <c r="W47" s="17"/>
      <c r="X47" s="17"/>
      <c r="Y47" s="17"/>
      <c r="Z47" s="61"/>
      <c r="AA47" s="17"/>
      <c r="AB47" s="5"/>
      <c r="AC47" s="1326" t="str">
        <f ca="1">AM102</f>
        <v/>
      </c>
      <c r="AD47" s="1326"/>
      <c r="AE47" s="1326" t="str">
        <f ca="1">AO102</f>
        <v/>
      </c>
      <c r="AF47" s="1326"/>
      <c r="AG47" s="755" t="str">
        <f>IF(AO46="FOUT","",IF(W46=1,AC46,IF(W46=2,AE46,AC46&amp;AE46)))</f>
        <v/>
      </c>
      <c r="AH47" s="449" t="str">
        <f>IF(AD46="LEEG","LEEG",IF(AD46= "FOUT","ONGELDIG",IF(LEN(SUBSTITUTE(SUBSTITUTE("|"&amp;$AD$46&amp;"|"&amp;$AF$46&amp;"|"&amp;$AD$48&amp;"|"&amp;$AF$48&amp;"|","LEEG","##"),AD46,"CONTROLE"))=$AJ$50,"GOED","DUBBEL")))</f>
        <v>LEEG</v>
      </c>
      <c r="AI47" s="5"/>
      <c r="AJ47" s="449" t="str">
        <f>IF(AF46="LEEG","LEEG",IF(AF46= "FOUT","ONGELDIG",IF(LEN(SUBSTITUTE(SUBSTITUTE("|"&amp;$AD$46&amp;"|"&amp;$AF$46&amp;"|"&amp;$AD$48&amp;"|"&amp;$AF$48&amp;"|","LEEG","##"),AF46,"CONTROLE"))=$AJ$50,"GOED","DUBBEL")))</f>
        <v>LEEG</v>
      </c>
      <c r="AK47" s="4"/>
      <c r="AL47" s="4"/>
      <c r="AM47" s="4"/>
      <c r="AN47" s="4"/>
      <c r="AO47" s="45"/>
      <c r="AP47" s="92"/>
      <c r="AQ47" s="303" t="str">
        <f ca="1">VLOOKUP(AR47,Voorblad!$X$67:$Z$98,2,FALSE)</f>
        <v>ZZZ_land_G4</v>
      </c>
      <c r="AR47" s="305" t="str">
        <f>AR43&amp;4</f>
        <v>G4</v>
      </c>
      <c r="AS47" s="721" t="str">
        <f ca="1">IF(AT47=$AR$11,$AQ$11,IF(AT47=$AR$12,$AQ$12,VLOOKUP(AT47,Voorblad!$X$67:$Z$98,2,FALSE)))</f>
        <v>Turkije</v>
      </c>
      <c r="AT47" s="722" t="str">
        <f t="shared" ca="1" si="5"/>
        <v>F1</v>
      </c>
      <c r="AU47" s="721" t="str">
        <f ca="1">IF(AV47=$AR$11,$AQ$11,IF(AV47=$AR$12,$AQ$12,VLOOKUP(AV47,Voorblad!$X$67:$Z$98,2,FALSE)))</f>
        <v/>
      </c>
      <c r="AV47" s="722" t="str">
        <f t="shared" ca="1" si="6"/>
        <v>??</v>
      </c>
      <c r="AW47" s="721" t="str">
        <f ca="1">IF(AX47=$AR$11,$AQ$11,IF(AX47=$AR$12,$AQ$12,VLOOKUP(AX47,Voorblad!$X$67:$Z$98,2,FALSE)))</f>
        <v/>
      </c>
      <c r="AX47" s="722" t="str">
        <f t="shared" ca="1" si="7"/>
        <v>??</v>
      </c>
      <c r="AY47" s="721" t="str">
        <f ca="1">IF(AZ47=$AR$11,$AQ$11,IF(AZ47=$AR$12,$AQ$12,VLOOKUP(AZ47,Voorblad!$X$67:$Z$98,2,FALSE)))</f>
        <v/>
      </c>
      <c r="AZ47" s="722" t="str">
        <f t="shared" ca="1" si="8"/>
        <v>??</v>
      </c>
      <c r="BA47" s="725">
        <f t="shared" si="9"/>
        <v>38</v>
      </c>
    </row>
    <row r="48" spans="1:53" ht="15" customHeight="1" x14ac:dyDescent="0.25">
      <c r="A48" s="163"/>
      <c r="B48" s="17"/>
      <c r="C48" s="1049"/>
      <c r="D48" s="6">
        <f>D46+1</f>
        <v>50</v>
      </c>
      <c r="E48" s="11">
        <f>E46+1</f>
        <v>45483.875</v>
      </c>
      <c r="F48" s="135">
        <f>E48+TIME(0,0,0)</f>
        <v>45483.875</v>
      </c>
      <c r="G48" s="1331" t="str">
        <f ca="1">" "&amp;Taal04!$B$77&amp;" "&amp;D42</f>
        <v xml:space="preserve"> Win. Wedstrijd 47</v>
      </c>
      <c r="H48" s="1331"/>
      <c r="I48" s="1331"/>
      <c r="J48" s="1331"/>
      <c r="K48" s="1331"/>
      <c r="L48" s="704"/>
      <c r="M48" s="702"/>
      <c r="N48" s="703" t="str">
        <f>IF(AK48="LEEG","▼   ","")&amp;"-  "</f>
        <v xml:space="preserve">▼   -  </v>
      </c>
      <c r="O48" s="1331" t="str">
        <f ca="1">" "&amp;Taal04!$B$77&amp;" "&amp;D40</f>
        <v xml:space="preserve"> Win. Wedstrijd 48</v>
      </c>
      <c r="P48" s="1331"/>
      <c r="Q48" s="1331"/>
      <c r="R48" s="1331"/>
      <c r="S48" s="1331"/>
      <c r="T48" s="1331"/>
      <c r="U48" s="704"/>
      <c r="V48" s="703" t="str">
        <f>IF(AL48="LEEG","▼   ","")&amp;": "</f>
        <v xml:space="preserve">▼   : </v>
      </c>
      <c r="W48" s="1316"/>
      <c r="X48" s="1316"/>
      <c r="Y48" s="1316"/>
      <c r="Z48" s="61"/>
      <c r="AA48" s="17"/>
      <c r="AB48" s="5"/>
      <c r="AC48" s="271" t="str">
        <f>IF(OR(L48="",ISBLANK(L48),L48=$AQ$11),"OO",IF(TYPE(VLOOKUP(L48,Taal02!$C$100:$D$419,2,FALSE))=16,"XX",VLOOKUP(L48,Taal02!$C$100:$D$419,2,FALSE)))</f>
        <v>OO</v>
      </c>
      <c r="AD48" s="219" t="str">
        <f>IF(AC48="OO","LEEG",IF(AC48="XX","FOUT",VLOOKUP(AC48,Voorblad!$X$65:$Z$98,3,FALSE)))</f>
        <v>LEEG</v>
      </c>
      <c r="AE48" s="271" t="str">
        <f>IF(OR(U48="",ISBLANK(U48),U48=$AQ$11),"OO",IF(TYPE(VLOOKUP(U48,Taal02!$C$100:$D$419,2,FALSE))=16,"XX",VLOOKUP(U48,Taal02!$C$100:$D$419,2,FALSE)))</f>
        <v>OO</v>
      </c>
      <c r="AF48" s="219" t="str">
        <f>IF(AE48="OO","LEEG",IF(AE48="XX","FOUT",VLOOKUP(AE48,Voorblad!$X$65:$Z$98,3,FALSE)))</f>
        <v>LEEG</v>
      </c>
      <c r="AG48" s="755" t="str">
        <f>IF(AO46="FOUT","",IF(W46=2,AC46,IF(W46=1,AE46,AC46&amp;AE46)))</f>
        <v/>
      </c>
      <c r="AH48" s="383" t="s">
        <v>2387</v>
      </c>
      <c r="AI48" s="10" t="s">
        <v>12</v>
      </c>
      <c r="AJ48" s="383" t="s">
        <v>2387</v>
      </c>
      <c r="AK48" s="4" t="str">
        <f>IF(AD48="LEEG","LEEG",IF(TYPE(AD48)=2,IF(LEN(AD48)=2,IF(AND($AI$11=0,AH49="DUBBEL"),"ONGELDIG","GOED"),"ONGELDIG"),"ONGELDIG"))</f>
        <v>LEEG</v>
      </c>
      <c r="AL48" s="4" t="str">
        <f>IF(AF48="LEEG","LEEG",IF(TYPE(AF48)=2,IF(LEN(AF48)=2,IF(AND($AI$11=0,AJ49="DUBBEL"),"ONGELDIG","GOED"),"ONGELDIG"),"ONGELDIG"))</f>
        <v>LEEG</v>
      </c>
      <c r="AM48" s="4"/>
      <c r="AN48" s="4" t="str">
        <f>IF(ISBLANK(W48),"LEEG",IF(OR(W48=1,W48=2,W48=3),"GOED","ONGELDIG"))</f>
        <v>LEEG</v>
      </c>
      <c r="AO48" s="139" t="str">
        <f>IF(AK48="GOED",IF(AL48="GOED",IF(AN48="GOED",AD48&amp;AF48&amp;W48&amp;"|","FOUT"),"FOUT"),"FOUT")</f>
        <v>FOUT</v>
      </c>
      <c r="AP48" s="92">
        <f>LEN(AO48)</f>
        <v>4</v>
      </c>
      <c r="AQ48" s="297"/>
      <c r="AR48" s="299" t="s">
        <v>170</v>
      </c>
      <c r="AS48" s="721" t="str">
        <f ca="1">IF(AT48=$AR$11,$AQ$11,IF(AT48=$AR$12,$AQ$12,VLOOKUP(AT48,Voorblad!$X$67:$Z$98,2,FALSE)))</f>
        <v>Zwitserland</v>
      </c>
      <c r="AT48" s="722" t="str">
        <f t="shared" ca="1" si="5"/>
        <v>A4</v>
      </c>
      <c r="AU48" s="721" t="str">
        <f ca="1">IF(AV48=$AR$11,$AQ$11,IF(AV48=$AR$12,$AQ$12,VLOOKUP(AV48,Voorblad!$X$67:$Z$98,2,FALSE)))</f>
        <v/>
      </c>
      <c r="AV48" s="722" t="str">
        <f t="shared" ca="1" si="6"/>
        <v>??</v>
      </c>
      <c r="AW48" s="721" t="str">
        <f ca="1">IF(AX48=$AR$11,$AQ$11,IF(AX48=$AR$12,$AQ$12,VLOOKUP(AX48,Voorblad!$X$67:$Z$98,2,FALSE)))</f>
        <v/>
      </c>
      <c r="AX48" s="722" t="str">
        <f t="shared" ca="1" si="7"/>
        <v>??</v>
      </c>
      <c r="AY48" s="721" t="str">
        <f ca="1">IF(AZ48=$AR$11,$AQ$11,IF(AZ48=$AR$12,$AQ$12,VLOOKUP(AZ48,Voorblad!$X$67:$Z$98,2,FALSE)))</f>
        <v/>
      </c>
      <c r="AZ48" s="722" t="str">
        <f t="shared" ca="1" si="8"/>
        <v>??</v>
      </c>
      <c r="BA48" s="725">
        <f t="shared" si="9"/>
        <v>40</v>
      </c>
    </row>
    <row r="49" spans="1:53" ht="15" customHeight="1" x14ac:dyDescent="0.25">
      <c r="A49" s="163"/>
      <c r="B49" s="17"/>
      <c r="C49" s="1049"/>
      <c r="D49" s="369"/>
      <c r="E49" s="366"/>
      <c r="F49" s="367"/>
      <c r="G49" s="1327" t="str">
        <f ca="1">IF($AB$9=1," "&amp;AC49,IF($AB$9=2,IF(AC48="OO"," "&amp;AC49,""),""))</f>
        <v xml:space="preserve"> </v>
      </c>
      <c r="H49" s="1327"/>
      <c r="I49" s="1327"/>
      <c r="J49" s="1327"/>
      <c r="K49" s="1327"/>
      <c r="L49" s="1327"/>
      <c r="M49" s="16"/>
      <c r="N49" s="16"/>
      <c r="O49" s="1327" t="str">
        <f ca="1">IF($AB$9=1," "&amp;AE49,IF($AB$9=2,IF(AE48="OO"," "&amp;AE49,""),""))</f>
        <v xml:space="preserve"> </v>
      </c>
      <c r="P49" s="1327"/>
      <c r="Q49" s="1327"/>
      <c r="R49" s="1327"/>
      <c r="S49" s="1327"/>
      <c r="T49" s="1327"/>
      <c r="U49" s="1327"/>
      <c r="V49" s="17"/>
      <c r="W49" s="246"/>
      <c r="X49" s="246"/>
      <c r="Y49" s="246"/>
      <c r="Z49" s="61"/>
      <c r="AA49" s="17"/>
      <c r="AB49" s="5"/>
      <c r="AC49" s="1326" t="str">
        <f ca="1">AM103</f>
        <v/>
      </c>
      <c r="AD49" s="1326"/>
      <c r="AE49" s="1326" t="str">
        <f ca="1">AO103</f>
        <v/>
      </c>
      <c r="AF49" s="1326"/>
      <c r="AG49" s="755" t="str">
        <f>IF(AO48="FOUT","",IF(W48=1,AC48,IF(W48=2,AE48,AC48&amp;AE48)))</f>
        <v/>
      </c>
      <c r="AH49" s="449" t="str">
        <f>IF(AD48="LEEG","LEEG",IF(AD48= "FOUT","ONGELDIG",IF(LEN(SUBSTITUTE(SUBSTITUTE("|"&amp;$AD$46&amp;"|"&amp;$AF$46&amp;"|"&amp;$AD$48&amp;"|"&amp;$AF$48&amp;"|","LEEG","##"),AD48,"CONTROLE"))=$AJ$50,"GOED","DUBBEL")))</f>
        <v>LEEG</v>
      </c>
      <c r="AI49" s="5"/>
      <c r="AJ49" s="449" t="str">
        <f>IF(AF48="LEEG","LEEG",IF(AF48= "FOUT","ONGELDIG",IF(LEN(SUBSTITUTE(SUBSTITUTE("|"&amp;$AD$46&amp;"|"&amp;$AF$46&amp;"|"&amp;$AD$48&amp;"|"&amp;$AF$48&amp;"|","LEEG","##"),AF48,"CONTROLE"))=$AJ$50,"GOED","DUBBEL")))</f>
        <v>LEEG</v>
      </c>
      <c r="AK49" s="4"/>
      <c r="AL49" s="4"/>
      <c r="AM49" s="4"/>
      <c r="AN49" s="4"/>
      <c r="AO49" s="139"/>
      <c r="AP49" s="92"/>
      <c r="AQ49" s="301" t="str">
        <f ca="1">VLOOKUP(AR49,Voorblad!$X$67:$Z$98,2,FALSE)</f>
        <v>ZZZ_land_H1</v>
      </c>
      <c r="AR49" s="302" t="str">
        <f>AR48&amp;1</f>
        <v>H1</v>
      </c>
      <c r="AS49" s="721" t="str">
        <f ca="1">IF(AT49=$AR$11,$AQ$11,IF(AT49=$AR$12,$AQ$12,VLOOKUP(AT49,Voorblad!$X$67:$Z$98,2,FALSE)))</f>
        <v/>
      </c>
      <c r="AT49" s="722" t="str">
        <f t="shared" ca="1" si="5"/>
        <v>??</v>
      </c>
      <c r="AU49" s="721" t="str">
        <f ca="1">IF(AV49=$AR$11,$AQ$11,IF(AV49=$AR$12,$AQ$12,VLOOKUP(AV49,Voorblad!$X$67:$Z$98,2,FALSE)))</f>
        <v/>
      </c>
      <c r="AV49" s="722" t="str">
        <f t="shared" ca="1" si="6"/>
        <v>??</v>
      </c>
      <c r="AW49" s="721" t="str">
        <f ca="1">IF(AX49=$AR$11,$AQ$11,IF(AX49=$AR$12,$AQ$12,VLOOKUP(AX49,Voorblad!$X$67:$Z$98,2,FALSE)))</f>
        <v/>
      </c>
      <c r="AX49" s="722" t="str">
        <f t="shared" ca="1" si="7"/>
        <v>??</v>
      </c>
      <c r="AY49" s="721" t="str">
        <f ca="1">IF(AZ49=$AR$11,$AQ$11,IF(AZ49=$AR$12,$AQ$12,VLOOKUP(AZ49,Voorblad!$X$67:$Z$98,2,FALSE)))</f>
        <v/>
      </c>
      <c r="AZ49" s="722" t="str">
        <f t="shared" ca="1" si="8"/>
        <v>??</v>
      </c>
      <c r="BA49" s="726">
        <f t="shared" si="9"/>
        <v>42</v>
      </c>
    </row>
    <row r="50" spans="1:53" ht="24" hidden="1" customHeight="1" x14ac:dyDescent="0.4">
      <c r="A50" s="628" t="str">
        <f>IF(A30="H","","H")</f>
        <v>H</v>
      </c>
      <c r="B50" s="17"/>
      <c r="C50" s="1049"/>
      <c r="D50" s="908" t="str">
        <f ca="1">Taal04!$B$30</f>
        <v>Troostfinale</v>
      </c>
      <c r="E50" s="366"/>
      <c r="F50" s="367"/>
      <c r="G50" s="17"/>
      <c r="H50" s="17"/>
      <c r="I50" s="17"/>
      <c r="J50" s="368"/>
      <c r="K50" s="368"/>
      <c r="L50" s="368"/>
      <c r="M50" s="17"/>
      <c r="N50" s="17"/>
      <c r="O50" s="17"/>
      <c r="P50" s="246"/>
      <c r="Q50" s="246"/>
      <c r="R50" s="17"/>
      <c r="S50" s="17"/>
      <c r="T50" s="17"/>
      <c r="U50" s="17"/>
      <c r="V50" s="369"/>
      <c r="W50" s="17"/>
      <c r="X50" s="17"/>
      <c r="Y50" s="166"/>
      <c r="Z50" s="61"/>
      <c r="AA50" s="17"/>
      <c r="AB50" s="5"/>
      <c r="AC50" s="271"/>
      <c r="AD50" s="219"/>
      <c r="AE50" s="271"/>
      <c r="AF50" s="219"/>
      <c r="AG50" s="755" t="str">
        <f>IF(AO48="FOUT","",IF(W48=2,AC48,IF(W48=1,AE48,AC48&amp;AE48)))</f>
        <v/>
      </c>
      <c r="AH50" s="5"/>
      <c r="AI50" s="5"/>
      <c r="AJ50" s="448">
        <f>4*3+1+LEN("CONTROLE")-2</f>
        <v>19</v>
      </c>
      <c r="AK50" s="1313" t="s">
        <v>171</v>
      </c>
      <c r="AL50" s="1313"/>
      <c r="AM50" s="1313"/>
      <c r="AN50" s="1313"/>
      <c r="AO50" s="1313"/>
      <c r="AP50" s="450"/>
      <c r="AQ50" s="301" t="str">
        <f ca="1">VLOOKUP(AR50,Voorblad!$X$67:$Z$98,2,FALSE)</f>
        <v>ZZZ_land_H2</v>
      </c>
      <c r="AR50" s="302" t="str">
        <f>AR48&amp;2</f>
        <v>H2</v>
      </c>
      <c r="AS50" s="719"/>
      <c r="AT50" s="720" t="s">
        <v>2404</v>
      </c>
      <c r="AU50" s="719"/>
      <c r="AV50" s="720" t="s">
        <v>518</v>
      </c>
      <c r="AW50" s="719"/>
      <c r="AX50" s="720" t="s">
        <v>2408</v>
      </c>
      <c r="AY50" s="719"/>
      <c r="AZ50" s="720" t="s">
        <v>2407</v>
      </c>
      <c r="BA50" s="723"/>
    </row>
    <row r="51" spans="1:53" ht="15" hidden="1" customHeight="1" x14ac:dyDescent="0.25">
      <c r="A51" s="628" t="str">
        <f>IF(A31="H","","H")</f>
        <v>H</v>
      </c>
      <c r="B51" s="17"/>
      <c r="C51" s="1049"/>
      <c r="D51" s="17"/>
      <c r="E51" s="1039" t="str">
        <f ca="1">Taal04!$B$20</f>
        <v>Datum</v>
      </c>
      <c r="F51" s="1039" t="str">
        <f ca="1">Taal04!$B$21</f>
        <v>Tijd</v>
      </c>
      <c r="G51" s="1315" t="str">
        <f ca="1">Taal04!$B$22</f>
        <v>Wedstrijd</v>
      </c>
      <c r="H51" s="1315"/>
      <c r="I51" s="1315"/>
      <c r="J51" s="1315"/>
      <c r="K51" s="1315"/>
      <c r="L51" s="1315"/>
      <c r="M51" s="1315"/>
      <c r="N51" s="1315"/>
      <c r="O51" s="1315"/>
      <c r="P51" s="1315"/>
      <c r="Q51" s="1315"/>
      <c r="R51" s="1315"/>
      <c r="S51" s="1315"/>
      <c r="T51" s="1315"/>
      <c r="U51" s="1315"/>
      <c r="V51" s="17"/>
      <c r="W51" s="1332" t="str">
        <f ca="1">Taal04!$B$23</f>
        <v>TOTO</v>
      </c>
      <c r="X51" s="1333"/>
      <c r="Y51" s="1333"/>
      <c r="Z51" s="61"/>
      <c r="AA51" s="17"/>
      <c r="AB51" s="5"/>
      <c r="AC51" s="219" t="s">
        <v>18</v>
      </c>
      <c r="AD51" s="219" t="s">
        <v>19</v>
      </c>
      <c r="AE51" s="219" t="s">
        <v>18</v>
      </c>
      <c r="AF51" s="219" t="s">
        <v>19</v>
      </c>
      <c r="AG51" s="5"/>
      <c r="AH51" s="10" t="s">
        <v>73</v>
      </c>
      <c r="AI51" s="5"/>
      <c r="AJ51" s="10" t="s">
        <v>73</v>
      </c>
      <c r="AK51" s="4" t="s">
        <v>24</v>
      </c>
      <c r="AL51" s="4" t="s">
        <v>25</v>
      </c>
      <c r="AM51" s="4"/>
      <c r="AN51" s="4" t="s">
        <v>234</v>
      </c>
      <c r="AO51" s="139" t="s">
        <v>0</v>
      </c>
      <c r="AP51" s="450"/>
      <c r="AQ51" s="301" t="str">
        <f ca="1">VLOOKUP(AR51,Voorblad!$X$67:$Z$98,2,FALSE)</f>
        <v>ZZZ_land_H3</v>
      </c>
      <c r="AR51" s="302" t="str">
        <f>AR48&amp;3</f>
        <v>H3</v>
      </c>
      <c r="AS51" s="721" t="str">
        <f ca="1">IF(AT51=$AR$11,$AQ$11,IF(AT51=$AR$12,$AQ$12,VLOOKUP(AT51,Voorblad!$X$67:$Z$98,2,FALSE)))</f>
        <v>België</v>
      </c>
      <c r="AT51" s="722" t="str">
        <f t="shared" ref="AT51:AT71" ca="1" si="11">RIGHT(LEFT($AK$98,$BA51),2)</f>
        <v>E1</v>
      </c>
      <c r="AU51" s="721" t="str">
        <f ca="1">IF(AV51=$AR$11,$AQ$11,IF(AV51=$AR$12,$AQ$12,VLOOKUP(AV51,Voorblad!$X$67:$Z$98,2,FALSE)))</f>
        <v>Albanië</v>
      </c>
      <c r="AV51" s="722" t="str">
        <f t="shared" ref="AV51:AV71" ca="1" si="12">RIGHT(LEFT($AL$98,$BA51),2)</f>
        <v>B4</v>
      </c>
      <c r="AW51" s="721" t="str">
        <f ca="1">IF(AX51=$AR$11,$AQ$11,IF(AX51=$AR$12,$AQ$12,VLOOKUP(AX51,Voorblad!$X$67:$Z$98,2,FALSE)))</f>
        <v>Albanië</v>
      </c>
      <c r="AX51" s="722" t="str">
        <f t="shared" ref="AX51:AX71" ca="1" si="13">RIGHT(LEFT($AK$99,$BA51),2)</f>
        <v>B4</v>
      </c>
      <c r="AY51" s="721" t="str">
        <f ca="1">IF(AZ51=$AR$11,$AQ$11,IF(AZ51=$AR$12,$AQ$12,VLOOKUP(AZ51,Voorblad!$X$67:$Z$98,2,FALSE)))</f>
        <v>Frankrijk</v>
      </c>
      <c r="AZ51" s="722" t="str">
        <f t="shared" ref="AZ51:AZ71" ca="1" si="14">RIGHT(LEFT($AL$99,$BA51),2)</f>
        <v>D4</v>
      </c>
      <c r="BA51" s="724">
        <v>2</v>
      </c>
    </row>
    <row r="52" spans="1:53" ht="15" hidden="1" customHeight="1" x14ac:dyDescent="0.25">
      <c r="A52" s="628" t="str">
        <f>IF(A32="H","","H")</f>
        <v>H</v>
      </c>
      <c r="B52" s="17"/>
      <c r="C52" s="1049"/>
      <c r="D52" s="473">
        <f>IF(A50="H",D48+25,D48+1)</f>
        <v>75</v>
      </c>
      <c r="E52" s="471">
        <f>E48+3+TIME(0,0,0)</f>
        <v>45486.875</v>
      </c>
      <c r="F52" s="135">
        <f>E52+TIME(0,0,0)</f>
        <v>45486.875</v>
      </c>
      <c r="G52" s="1331" t="str">
        <f ca="1">" "&amp;Taal04!$B$78&amp;" "&amp;D46</f>
        <v xml:space="preserve"> Verl. Wedstrijd 49</v>
      </c>
      <c r="H52" s="1331"/>
      <c r="I52" s="1331"/>
      <c r="J52" s="1331"/>
      <c r="K52" s="1331"/>
      <c r="L52" s="704"/>
      <c r="M52" s="702"/>
      <c r="N52" s="703" t="str">
        <f>IF(AK52="LEEG","▼   ","")&amp;"-  "</f>
        <v xml:space="preserve">-  </v>
      </c>
      <c r="O52" s="1331" t="str">
        <f ca="1">" "&amp;Taal04!$B$78&amp;" "&amp;D48</f>
        <v xml:space="preserve"> Verl. Wedstrijd 50</v>
      </c>
      <c r="P52" s="1331"/>
      <c r="Q52" s="1331"/>
      <c r="R52" s="1331"/>
      <c r="S52" s="1331"/>
      <c r="T52" s="1331"/>
      <c r="U52" s="704"/>
      <c r="V52" s="703" t="str">
        <f>IF(AL52="LEEG","▼   ","")&amp;": "</f>
        <v xml:space="preserve">: </v>
      </c>
      <c r="W52" s="1316"/>
      <c r="X52" s="1316"/>
      <c r="Y52" s="1316"/>
      <c r="Z52" s="61"/>
      <c r="AA52" s="17"/>
      <c r="AB52" s="5"/>
      <c r="AC52" s="271" t="str">
        <f>IF(OR(L52="",ISBLANK(L52),L52=$AQ$11),"OO",IF(TYPE(VLOOKUP(L52,Taal02!$C$100:$D$419,2,FALSE))=16,"XX",VLOOKUP(L52,Taal02!$C$100:$D$419,2,FALSE)))</f>
        <v>OO</v>
      </c>
      <c r="AD52" s="219" t="str">
        <f>IF(AC52="OO","LEEG",IF(AC52="XX","FOUT",VLOOKUP(AC52,Voorblad!$X$65:$Z$98,3,FALSE)))</f>
        <v>LEEG</v>
      </c>
      <c r="AE52" s="271" t="str">
        <f>IF(OR(U52="",ISBLANK(U52),U52=$AQ$11),"OO",IF(TYPE(VLOOKUP(U52,Taal02!$C$100:$D$419,2,FALSE))=16,"XX",VLOOKUP(U52,Taal02!$C$100:$D$419,2,FALSE)))</f>
        <v>OO</v>
      </c>
      <c r="AF52" s="219" t="str">
        <f>IF(AE52="OO","LEEG",IF(AE52="XX","FOUT",VLOOKUP(AE52,Voorblad!$X$65:$Z$98,3,FALSE)))</f>
        <v>LEEG</v>
      </c>
      <c r="AG52" s="5"/>
      <c r="AH52" s="383" t="s">
        <v>2387</v>
      </c>
      <c r="AI52" s="10" t="s">
        <v>12</v>
      </c>
      <c r="AJ52" s="383" t="s">
        <v>2387</v>
      </c>
      <c r="AK52" s="4" t="str">
        <f>IF($A52="H","",IF(AD52="LEEG","LEEG",IF(TYPE(AD52)=2,IF(LEN(AD52)=2,IF(AND($AI$11=0,AH53="DUBBEL"),"ONGELDIG","GOED"),"ONGELDIG"),"ONGELDIG")))</f>
        <v/>
      </c>
      <c r="AL52" s="4" t="str">
        <f>IF($A52="H","",IF(AF52="LEEG","LEEG",IF(TYPE(AF52)=2,IF(LEN(AF52)=2,IF(AND($AI$11=0,AJ53="DUBBEL"),"ONGELDIG","GOED"),"ONGELDIG"),"ONGELDIG")))</f>
        <v/>
      </c>
      <c r="AM52" s="4"/>
      <c r="AN52" s="4" t="str">
        <f>IF($A52="H","",IF(ISBLANK(W52),"LEEG",IF(OR(W52=1,W52=2,W52=3),"GOED","ONGELDIG")))</f>
        <v/>
      </c>
      <c r="AO52" s="139" t="str">
        <f>IF(AK52="GOED",IF(AL52="GOED",IF(AN52="GOED",AD52&amp;AF52&amp;W52&amp;"|","FOUT"),"FOUT"),"FOUT")</f>
        <v>FOUT</v>
      </c>
      <c r="AP52" s="92">
        <f>IF(A50="H",0,LEN(AO52))</f>
        <v>0</v>
      </c>
      <c r="AQ52" s="303" t="str">
        <f ca="1">VLOOKUP(AR52,Voorblad!$X$67:$Z$98,2,FALSE)</f>
        <v>ZZZ_land_H4</v>
      </c>
      <c r="AR52" s="305" t="str">
        <f>AR48&amp;4</f>
        <v>H4</v>
      </c>
      <c r="AS52" s="721" t="str">
        <f ca="1">IF(AT52=$AR$11,$AQ$11,IF(AT52=$AR$12,$AQ$12,VLOOKUP(AT52,Voorblad!$X$67:$Z$98,2,FALSE)))</f>
        <v>Denemarken</v>
      </c>
      <c r="AT52" s="722" t="str">
        <f t="shared" ca="1" si="11"/>
        <v>C2</v>
      </c>
      <c r="AU52" s="721" t="str">
        <f ca="1">IF(AV52=$AR$11,$AQ$11,IF(AV52=$AR$12,$AQ$12,VLOOKUP(AV52,Voorblad!$X$67:$Z$98,2,FALSE)))</f>
        <v>Duitsland</v>
      </c>
      <c r="AV52" s="722" t="str">
        <f t="shared" ca="1" si="12"/>
        <v>A1</v>
      </c>
      <c r="AW52" s="721" t="str">
        <f ca="1">IF(AX52=$AR$11,$AQ$11,IF(AX52=$AR$12,$AQ$12,VLOOKUP(AX52,Voorblad!$X$67:$Z$98,2,FALSE)))</f>
        <v>België</v>
      </c>
      <c r="AX52" s="722" t="str">
        <f t="shared" ca="1" si="13"/>
        <v>E1</v>
      </c>
      <c r="AY52" s="721" t="str">
        <f ca="1">IF(AZ52=$AR$11,$AQ$11,IF(AZ52=$AR$12,$AQ$12,VLOOKUP(AZ52,Voorblad!$X$67:$Z$98,2,FALSE)))</f>
        <v>Georgië</v>
      </c>
      <c r="AZ52" s="722" t="str">
        <f t="shared" ca="1" si="14"/>
        <v>F2</v>
      </c>
      <c r="BA52" s="725">
        <f t="shared" ref="BA52:BA71" si="15">BA51+2</f>
        <v>4</v>
      </c>
    </row>
    <row r="53" spans="1:53" ht="15" hidden="1" customHeight="1" x14ac:dyDescent="0.25">
      <c r="A53" s="628" t="str">
        <f>IF(A33="H","","H")</f>
        <v>H</v>
      </c>
      <c r="B53" s="17"/>
      <c r="C53" s="1049"/>
      <c r="D53" s="17"/>
      <c r="E53" s="17"/>
      <c r="F53" s="17"/>
      <c r="G53" s="1327" t="str">
        <f ca="1">IF($AB$9=1," "&amp;AC53,IF($AB$9=2,IF(AC52="OO"," "&amp;AC53,""),""))</f>
        <v xml:space="preserve"> </v>
      </c>
      <c r="H53" s="1327"/>
      <c r="I53" s="1327"/>
      <c r="J53" s="1327"/>
      <c r="K53" s="1327"/>
      <c r="L53" s="1327"/>
      <c r="M53" s="16"/>
      <c r="N53" s="16"/>
      <c r="O53" s="1327" t="str">
        <f ca="1">IF($AB$9=1," "&amp;AE53,IF($AB$9=2,IF(AE52="OO"," "&amp;AE53,""),""))</f>
        <v xml:space="preserve"> </v>
      </c>
      <c r="P53" s="1327"/>
      <c r="Q53" s="1327"/>
      <c r="R53" s="1327"/>
      <c r="S53" s="1327"/>
      <c r="T53" s="1327"/>
      <c r="U53" s="1327"/>
      <c r="V53" s="17"/>
      <c r="W53" s="246"/>
      <c r="X53" s="246"/>
      <c r="Y53" s="246"/>
      <c r="Z53" s="61"/>
      <c r="AA53" s="17"/>
      <c r="AB53" s="5"/>
      <c r="AC53" s="1326" t="str">
        <f ca="1">AM106</f>
        <v/>
      </c>
      <c r="AD53" s="1326"/>
      <c r="AE53" s="1326" t="str">
        <f ca="1">AO106</f>
        <v/>
      </c>
      <c r="AF53" s="1326"/>
      <c r="AG53" s="5"/>
      <c r="AH53" s="449" t="str">
        <f>IF(AD52="LEEG","LEEG",IF(AD52= "FOUT","ONGELDIG",IF(LEN(SUBSTITUTE(SUBSTITUTE("|"&amp;$AD$52&amp;"|"&amp;$AF$52&amp;"|"&amp;$AD$56&amp;"|"&amp;$AF$56&amp;"|","LEEG","##"),AD52,"CONTROLE"))=$AJ$58,"GOED","DUBBEL")))</f>
        <v>LEEG</v>
      </c>
      <c r="AI53" s="5"/>
      <c r="AJ53" s="449" t="str">
        <f>IF(AF52="LEEG","LEEG",IF(AF52= "FOUT","ONGELDIG",IF(LEN(SUBSTITUTE(SUBSTITUTE("|"&amp;$AD$52&amp;"|"&amp;$AF$52&amp;"|"&amp;$AD$56&amp;"|"&amp;$AF$56&amp;"|","LEEG","##"),AF52,"CONTROLE"))=$AJ$58,"GOED","DUBBEL")))</f>
        <v>LEEG</v>
      </c>
      <c r="AK53" s="4"/>
      <c r="AL53" s="4"/>
      <c r="AM53" s="4"/>
      <c r="AN53" s="4"/>
      <c r="AO53" s="1"/>
      <c r="AP53" s="92"/>
      <c r="AQ53" s="713"/>
      <c r="AR53" s="714"/>
      <c r="AS53" s="721" t="str">
        <f ca="1">IF(AT53=$AR$11,$AQ$11,IF(AT53=$AR$12,$AQ$12,VLOOKUP(AT53,Voorblad!$X$67:$Z$98,2,FALSE)))</f>
        <v>Engeland</v>
      </c>
      <c r="AT53" s="722" t="str">
        <f t="shared" ca="1" si="11"/>
        <v>C4</v>
      </c>
      <c r="AU53" s="721" t="str">
        <f ca="1">IF(AV53=$AR$11,$AQ$11,IF(AV53=$AR$12,$AQ$12,VLOOKUP(AV53,Voorblad!$X$67:$Z$98,2,FALSE)))</f>
        <v>Hongarije</v>
      </c>
      <c r="AV53" s="722" t="str">
        <f t="shared" ca="1" si="12"/>
        <v>A3</v>
      </c>
      <c r="AW53" s="721" t="str">
        <f ca="1">IF(AX53=$AR$11,$AQ$11,IF(AX53=$AR$12,$AQ$12,VLOOKUP(AX53,Voorblad!$X$67:$Z$98,2,FALSE)))</f>
        <v>Denemarken</v>
      </c>
      <c r="AX53" s="722" t="str">
        <f t="shared" ca="1" si="13"/>
        <v>C2</v>
      </c>
      <c r="AY53" s="721" t="str">
        <f ca="1">IF(AZ53=$AR$11,$AQ$11,IF(AZ53=$AR$12,$AQ$12,VLOOKUP(AZ53,Voorblad!$X$67:$Z$98,2,FALSE)))</f>
        <v>Nederland</v>
      </c>
      <c r="AZ53" s="722" t="str">
        <f t="shared" ca="1" si="14"/>
        <v>D2</v>
      </c>
      <c r="BA53" s="725">
        <f t="shared" si="15"/>
        <v>6</v>
      </c>
    </row>
    <row r="54" spans="1:53" ht="24" customHeight="1" x14ac:dyDescent="0.4">
      <c r="A54" s="163"/>
      <c r="B54" s="17"/>
      <c r="C54" s="1049"/>
      <c r="D54" s="908" t="str">
        <f ca="1">Taal04!$B$31</f>
        <v>Finale</v>
      </c>
      <c r="E54" s="366"/>
      <c r="F54" s="367"/>
      <c r="G54" s="17"/>
      <c r="H54" s="17"/>
      <c r="I54" s="17"/>
      <c r="J54" s="368"/>
      <c r="K54" s="368"/>
      <c r="L54" s="368"/>
      <c r="M54" s="17"/>
      <c r="N54" s="17"/>
      <c r="O54" s="17"/>
      <c r="P54" s="246"/>
      <c r="Q54" s="246"/>
      <c r="R54" s="17"/>
      <c r="S54" s="17"/>
      <c r="T54" s="17"/>
      <c r="U54" s="17"/>
      <c r="V54" s="369"/>
      <c r="W54" s="17"/>
      <c r="X54" s="17"/>
      <c r="Y54" s="166"/>
      <c r="Z54" s="61"/>
      <c r="AA54" s="17"/>
      <c r="AB54" s="5"/>
      <c r="AC54" s="10"/>
      <c r="AD54" s="5"/>
      <c r="AE54" s="10"/>
      <c r="AF54" s="10"/>
      <c r="AG54" s="5"/>
      <c r="AH54" s="5"/>
      <c r="AI54" s="5"/>
      <c r="AJ54" s="5"/>
      <c r="AK54" s="1313" t="s">
        <v>21</v>
      </c>
      <c r="AL54" s="1313"/>
      <c r="AM54" s="1313"/>
      <c r="AN54" s="1313"/>
      <c r="AO54" s="1313"/>
      <c r="AP54" s="92"/>
      <c r="AQ54" s="711"/>
      <c r="AR54" s="715"/>
      <c r="AS54" s="721" t="str">
        <f ca="1">IF(AT54=$AR$11,$AQ$11,IF(AT54=$AR$12,$AQ$12,VLOOKUP(AT54,Voorblad!$X$67:$Z$98,2,FALSE)))</f>
        <v>Frankrijk</v>
      </c>
      <c r="AT54" s="722" t="str">
        <f t="shared" ca="1" si="11"/>
        <v>D4</v>
      </c>
      <c r="AU54" s="721" t="str">
        <f ca="1">IF(AV54=$AR$11,$AQ$11,IF(AV54=$AR$12,$AQ$12,VLOOKUP(AV54,Voorblad!$X$67:$Z$98,2,FALSE)))</f>
        <v>Italië</v>
      </c>
      <c r="AV54" s="722" t="str">
        <f t="shared" ca="1" si="12"/>
        <v>B3</v>
      </c>
      <c r="AW54" s="721" t="str">
        <f ca="1">IF(AX54=$AR$11,$AQ$11,IF(AX54=$AR$12,$AQ$12,VLOOKUP(AX54,Voorblad!$X$67:$Z$98,2,FALSE)))</f>
        <v>Duitsland</v>
      </c>
      <c r="AX54" s="722" t="str">
        <f t="shared" ca="1" si="13"/>
        <v>A1</v>
      </c>
      <c r="AY54" s="721" t="str">
        <f ca="1">IF(AZ54=$AR$11,$AQ$11,IF(AZ54=$AR$12,$AQ$12,VLOOKUP(AZ54,Voorblad!$X$67:$Z$98,2,FALSE)))</f>
        <v>Oostenrijk</v>
      </c>
      <c r="AZ54" s="722" t="str">
        <f t="shared" ca="1" si="14"/>
        <v>D3</v>
      </c>
      <c r="BA54" s="725">
        <f t="shared" si="15"/>
        <v>8</v>
      </c>
    </row>
    <row r="55" spans="1:53" ht="15" customHeight="1" x14ac:dyDescent="0.25">
      <c r="A55" s="163"/>
      <c r="B55" s="17"/>
      <c r="C55" s="1049"/>
      <c r="D55" s="17"/>
      <c r="E55" s="1039" t="str">
        <f ca="1">Taal04!$B$20</f>
        <v>Datum</v>
      </c>
      <c r="F55" s="1039" t="str">
        <f ca="1">Taal04!$B$21</f>
        <v>Tijd</v>
      </c>
      <c r="G55" s="1315" t="str">
        <f ca="1">Taal04!$B$22</f>
        <v>Wedstrijd</v>
      </c>
      <c r="H55" s="1315"/>
      <c r="I55" s="1315"/>
      <c r="J55" s="1315"/>
      <c r="K55" s="1315"/>
      <c r="L55" s="1315"/>
      <c r="M55" s="1315"/>
      <c r="N55" s="1315"/>
      <c r="O55" s="1315"/>
      <c r="P55" s="1315"/>
      <c r="Q55" s="1315"/>
      <c r="R55" s="1315"/>
      <c r="S55" s="1315"/>
      <c r="T55" s="1315"/>
      <c r="U55" s="1315"/>
      <c r="V55" s="17"/>
      <c r="W55" s="1332" t="str">
        <f ca="1">Taal04!$B$23</f>
        <v>TOTO</v>
      </c>
      <c r="X55" s="1333"/>
      <c r="Y55" s="1333"/>
      <c r="Z55" s="61"/>
      <c r="AA55" s="17"/>
      <c r="AB55" s="5"/>
      <c r="AC55" s="219" t="s">
        <v>18</v>
      </c>
      <c r="AD55" s="219" t="s">
        <v>19</v>
      </c>
      <c r="AE55" s="219" t="s">
        <v>18</v>
      </c>
      <c r="AF55" s="219" t="s">
        <v>19</v>
      </c>
      <c r="AG55" s="5"/>
      <c r="AH55" s="10" t="s">
        <v>73</v>
      </c>
      <c r="AI55" s="5"/>
      <c r="AJ55" s="10" t="s">
        <v>73</v>
      </c>
      <c r="AK55" s="4" t="s">
        <v>24</v>
      </c>
      <c r="AL55" s="4" t="s">
        <v>25</v>
      </c>
      <c r="AM55" s="4"/>
      <c r="AN55" s="4" t="s">
        <v>234</v>
      </c>
      <c r="AO55" s="139" t="s">
        <v>0</v>
      </c>
      <c r="AP55" s="92"/>
      <c r="AQ55" s="711"/>
      <c r="AR55" s="715"/>
      <c r="AS55" s="721" t="str">
        <f ca="1">IF(AT55=$AR$11,$AQ$11,IF(AT55=$AR$12,$AQ$12,VLOOKUP(AT55,Voorblad!$X$67:$Z$98,2,FALSE)))</f>
        <v>Georgië</v>
      </c>
      <c r="AT55" s="722" t="str">
        <f t="shared" ca="1" si="11"/>
        <v>F2</v>
      </c>
      <c r="AU55" s="721" t="str">
        <f ca="1">IF(AV55=$AR$11,$AQ$11,IF(AV55=$AR$12,$AQ$12,VLOOKUP(AV55,Voorblad!$X$67:$Z$98,2,FALSE)))</f>
        <v>Kroatië</v>
      </c>
      <c r="AV55" s="722" t="str">
        <f t="shared" ca="1" si="12"/>
        <v>B2</v>
      </c>
      <c r="AW55" s="721" t="str">
        <f ca="1">IF(AX55=$AR$11,$AQ$11,IF(AX55=$AR$12,$AQ$12,VLOOKUP(AX55,Voorblad!$X$67:$Z$98,2,FALSE)))</f>
        <v>Engeland</v>
      </c>
      <c r="AX55" s="722" t="str">
        <f t="shared" ca="1" si="13"/>
        <v>C4</v>
      </c>
      <c r="AY55" s="721" t="str">
        <f ca="1">IF(AZ55=$AR$11,$AQ$11,IF(AZ55=$AR$12,$AQ$12,VLOOKUP(AZ55,Voorblad!$X$67:$Z$98,2,FALSE)))</f>
        <v>Polen</v>
      </c>
      <c r="AZ55" s="722" t="str">
        <f t="shared" ca="1" si="14"/>
        <v>D1</v>
      </c>
      <c r="BA55" s="725">
        <f t="shared" si="15"/>
        <v>10</v>
      </c>
    </row>
    <row r="56" spans="1:53" ht="15" customHeight="1" x14ac:dyDescent="0.25">
      <c r="A56" s="163"/>
      <c r="B56" s="17"/>
      <c r="C56" s="1049"/>
      <c r="D56" s="6">
        <f>IF(A50="H",D48+1,D52+1)</f>
        <v>51</v>
      </c>
      <c r="E56" s="471">
        <f>E52+1</f>
        <v>45487.875</v>
      </c>
      <c r="F56" s="135">
        <f>E56+TIME(0,0,0)</f>
        <v>45487.875</v>
      </c>
      <c r="G56" s="1331" t="str">
        <f ca="1">" "&amp;Taal04!$B$77&amp;" "&amp;D46</f>
        <v xml:space="preserve"> Win. Wedstrijd 49</v>
      </c>
      <c r="H56" s="1331"/>
      <c r="I56" s="1331"/>
      <c r="J56" s="1331"/>
      <c r="K56" s="1331"/>
      <c r="L56" s="704"/>
      <c r="M56" s="702"/>
      <c r="N56" s="703" t="str">
        <f>IF(AK56="LEEG","▼   ","")&amp;"-  "</f>
        <v xml:space="preserve">▼   -  </v>
      </c>
      <c r="O56" s="1331" t="str">
        <f ca="1">" "&amp;Taal04!$B$77&amp;" "&amp;D48</f>
        <v xml:space="preserve"> Win. Wedstrijd 50</v>
      </c>
      <c r="P56" s="1331"/>
      <c r="Q56" s="1331"/>
      <c r="R56" s="1331"/>
      <c r="S56" s="1331"/>
      <c r="T56" s="1331"/>
      <c r="U56" s="704"/>
      <c r="V56" s="703" t="str">
        <f>IF(AL56="LEEG","▼   ","")&amp;": "</f>
        <v xml:space="preserve">▼   : </v>
      </c>
      <c r="W56" s="1316"/>
      <c r="X56" s="1316"/>
      <c r="Y56" s="1316"/>
      <c r="Z56" s="61"/>
      <c r="AA56" s="17"/>
      <c r="AB56" s="5"/>
      <c r="AC56" s="271" t="str">
        <f>IF(OR(L56="",ISBLANK(L56),L56=$AQ$11),"OO",IF(TYPE(VLOOKUP(L56,Taal02!$C$100:$D$419,2,FALSE))=16,"XX",VLOOKUP(L56,Taal02!$C$100:$D$419,2,FALSE)))</f>
        <v>OO</v>
      </c>
      <c r="AD56" s="219" t="str">
        <f>IF(AC56="OO","LEEG",IF(AC56="XX","FOUT",VLOOKUP(AC56,Voorblad!$X$65:$Z$98,3,FALSE)))</f>
        <v>LEEG</v>
      </c>
      <c r="AE56" s="271" t="str">
        <f>IF(OR(U56="",ISBLANK(U56),U56=$AQ$11),"OO",IF(TYPE(VLOOKUP(U56,Taal02!$C$100:$D$419,2,FALSE))=16,"XX",VLOOKUP(U56,Taal02!$C$100:$D$419,2,FALSE)))</f>
        <v>OO</v>
      </c>
      <c r="AF56" s="219" t="str">
        <f>IF(AE56="OO","LEEG",IF(AE56="XX","FOUT",VLOOKUP(AE56,Voorblad!$X$65:$Z$98,3,FALSE)))</f>
        <v>LEEG</v>
      </c>
      <c r="AG56" s="5"/>
      <c r="AH56" s="383" t="s">
        <v>2387</v>
      </c>
      <c r="AI56" s="10" t="s">
        <v>12</v>
      </c>
      <c r="AJ56" s="383" t="s">
        <v>2387</v>
      </c>
      <c r="AK56" s="4" t="str">
        <f>IF(AD56="LEEG","LEEG",IF(TYPE(AD56)=2,IF(LEN(AD56)=2,IF(AND($AI$11=0,AH57="DUBBEL"),"ONGELDIG","GOED"),"ONGELDIG"),"ONGELDIG"))</f>
        <v>LEEG</v>
      </c>
      <c r="AL56" s="4" t="str">
        <f>IF(AF56="LEEG","LEEG",IF(TYPE(AF56)=2,IF(LEN(AF56)=2,IF(AND($AI$11=0,AJ57="DUBBEL"),"ONGELDIG","GOED"),"ONGELDIG"),"ONGELDIG"))</f>
        <v>LEEG</v>
      </c>
      <c r="AM56" s="4"/>
      <c r="AN56" s="4" t="str">
        <f>IF(ISBLANK(W56),"LEEG",IF(OR(W56=1,W56=2,W56=3),"GOED","ONGELDIG"))</f>
        <v>LEEG</v>
      </c>
      <c r="AO56" s="139" t="str">
        <f>IF(AK56="GOED",IF(AL56="GOED",IF(AN56="GOED",AD56&amp;AF56&amp;W56&amp;"|","FOUT"),"FOUT"),"FOUT")</f>
        <v>FOUT</v>
      </c>
      <c r="AP56" s="92">
        <f>LEN(AO56)</f>
        <v>4</v>
      </c>
      <c r="AQ56" s="711"/>
      <c r="AR56" s="715"/>
      <c r="AS56" s="721" t="str">
        <f ca="1">IF(AT56=$AR$11,$AQ$11,IF(AT56=$AR$12,$AQ$12,VLOOKUP(AT56,Voorblad!$X$67:$Z$98,2,FALSE)))</f>
        <v>Nederland</v>
      </c>
      <c r="AT56" s="722" t="str">
        <f t="shared" ca="1" si="11"/>
        <v>D2</v>
      </c>
      <c r="AU56" s="721" t="str">
        <f ca="1">IF(AV56=$AR$11,$AQ$11,IF(AV56=$AR$12,$AQ$12,VLOOKUP(AV56,Voorblad!$X$67:$Z$98,2,FALSE)))</f>
        <v>Schotland</v>
      </c>
      <c r="AV56" s="722" t="str">
        <f t="shared" ca="1" si="12"/>
        <v>A2</v>
      </c>
      <c r="AW56" s="721" t="str">
        <f ca="1">IF(AX56=$AR$11,$AQ$11,IF(AX56=$AR$12,$AQ$12,VLOOKUP(AX56,Voorblad!$X$67:$Z$98,2,FALSE)))</f>
        <v>Frankrijk</v>
      </c>
      <c r="AX56" s="722" t="str">
        <f t="shared" ca="1" si="13"/>
        <v>D4</v>
      </c>
      <c r="AY56" s="721" t="str">
        <f ca="1">IF(AZ56=$AR$11,$AQ$11,IF(AZ56=$AR$12,$AQ$12,VLOOKUP(AZ56,Voorblad!$X$67:$Z$98,2,FALSE)))</f>
        <v>Portugal</v>
      </c>
      <c r="AZ56" s="722" t="str">
        <f t="shared" ca="1" si="14"/>
        <v>F3</v>
      </c>
      <c r="BA56" s="725">
        <f t="shared" si="15"/>
        <v>12</v>
      </c>
    </row>
    <row r="57" spans="1:53" ht="15" customHeight="1" x14ac:dyDescent="0.25">
      <c r="A57" s="163"/>
      <c r="B57" s="17"/>
      <c r="C57" s="1049"/>
      <c r="D57" s="17"/>
      <c r="E57" s="17"/>
      <c r="F57" s="17"/>
      <c r="G57" s="1327" t="str">
        <f ca="1">IF($AB$9=1," "&amp;AC57,IF($AB$9=2,IF(AC56="OO"," "&amp;AC57,""),""))</f>
        <v xml:space="preserve"> </v>
      </c>
      <c r="H57" s="1327"/>
      <c r="I57" s="1327"/>
      <c r="J57" s="1327"/>
      <c r="K57" s="1327"/>
      <c r="L57" s="1327"/>
      <c r="M57" s="16"/>
      <c r="N57" s="16"/>
      <c r="O57" s="1327" t="str">
        <f ca="1">IF($AB$9=1," "&amp;AE57,IF($AB$9=2,IF(AE56="OO"," "&amp;AE57,""),""))</f>
        <v xml:space="preserve"> </v>
      </c>
      <c r="P57" s="1327"/>
      <c r="Q57" s="1327"/>
      <c r="R57" s="1327"/>
      <c r="S57" s="1327"/>
      <c r="T57" s="1327"/>
      <c r="U57" s="1327"/>
      <c r="V57" s="17"/>
      <c r="W57" s="17"/>
      <c r="X57" s="17"/>
      <c r="Y57" s="17"/>
      <c r="Z57" s="61"/>
      <c r="AA57" s="17"/>
      <c r="AB57" s="5"/>
      <c r="AC57" s="1336" t="str">
        <f ca="1">AM109</f>
        <v/>
      </c>
      <c r="AD57" s="1336"/>
      <c r="AE57" s="1336" t="str">
        <f ca="1">AO109</f>
        <v/>
      </c>
      <c r="AF57" s="1336"/>
      <c r="AG57" s="755" t="str">
        <f>IF(AO56="FOUT","",IF(W56=1,AC56,IF(W56=2,AE56,AC56&amp;AE56)))</f>
        <v/>
      </c>
      <c r="AH57" s="449" t="str">
        <f>IF(AD56="LEEG","LEEG",IF(AD56= "FOUT","ONGELDIG",IF(LEN(SUBSTITUTE(SUBSTITUTE("|"&amp;$AD$52&amp;"|"&amp;$AF$52&amp;"|"&amp;$AD$56&amp;"|"&amp;$AF$56&amp;"|","LEEG","##"),AD56,"CONTROLE"))=$AJ$58,"GOED","DUBBEL")))</f>
        <v>LEEG</v>
      </c>
      <c r="AI57" s="5"/>
      <c r="AJ57" s="449" t="str">
        <f>IF(AF56="LEEG","LEEG",IF(AF56= "FOUT","ONGELDIG",IF(LEN(SUBSTITUTE(SUBSTITUTE("|"&amp;$AD$52&amp;"|"&amp;$AF$52&amp;"|"&amp;$AD$56&amp;"|"&amp;$AF$56&amp;"|","LEEG","##"),AF56,"CONTROLE"))=$AJ$58,"GOED","DUBBEL")))</f>
        <v>LEEG</v>
      </c>
      <c r="AK57" s="4"/>
      <c r="AL57" s="4"/>
      <c r="AM57" s="4"/>
      <c r="AN57" s="4"/>
      <c r="AO57" s="1"/>
      <c r="AP57" s="92"/>
      <c r="AQ57" s="711"/>
      <c r="AR57" s="715"/>
      <c r="AS57" s="721" t="str">
        <f ca="1">IF(AT57=$AR$11,$AQ$11,IF(AT57=$AR$12,$AQ$12,VLOOKUP(AT57,Voorblad!$X$67:$Z$98,2,FALSE)))</f>
        <v>Oekraïne</v>
      </c>
      <c r="AT57" s="722" t="str">
        <f t="shared" ca="1" si="11"/>
        <v>E4</v>
      </c>
      <c r="AU57" s="721" t="str">
        <f ca="1">IF(AV57=$AR$11,$AQ$11,IF(AV57=$AR$12,$AQ$12,VLOOKUP(AV57,Voorblad!$X$67:$Z$98,2,FALSE)))</f>
        <v>Spanje</v>
      </c>
      <c r="AV57" s="722" t="str">
        <f t="shared" ca="1" si="12"/>
        <v>B1</v>
      </c>
      <c r="AW57" s="721" t="str">
        <f ca="1">IF(AX57=$AR$11,$AQ$11,IF(AX57=$AR$12,$AQ$12,VLOOKUP(AX57,Voorblad!$X$67:$Z$98,2,FALSE)))</f>
        <v>Hongarije</v>
      </c>
      <c r="AX57" s="722" t="str">
        <f t="shared" ca="1" si="13"/>
        <v>A3</v>
      </c>
      <c r="AY57" s="721" t="str">
        <f ca="1">IF(AZ57=$AR$11,$AQ$11,IF(AZ57=$AR$12,$AQ$12,VLOOKUP(AZ57,Voorblad!$X$67:$Z$98,2,FALSE)))</f>
        <v>Tsjechië</v>
      </c>
      <c r="AZ57" s="722" t="str">
        <f t="shared" ca="1" si="14"/>
        <v>F4</v>
      </c>
      <c r="BA57" s="725">
        <f t="shared" si="15"/>
        <v>14</v>
      </c>
    </row>
    <row r="58" spans="1:53" ht="12" customHeight="1" x14ac:dyDescent="0.25">
      <c r="A58" s="163"/>
      <c r="B58" s="17"/>
      <c r="C58" s="1049"/>
      <c r="D58" s="1335" t="str">
        <f ca="1">"1 = "&amp;MID(Taal04!B33,FIND("1 ",Taal04!$B$33,1)+2,FIND(", 2",Taal04!$B$33,1)-3)&amp;REPT(" ",50)&amp;"2 = "&amp;MID(Taal04!$B$33,FIND(", 2",Taal04!$B$33,1)+4,FIND(", 3",Taal04!$B$33,1)-(FIND(", 2",Taal04!$B$33,1)+4))&amp;REPT(" ",50)&amp;"3 = "&amp;MID(Taal04!$B$33,FIND(", 3",Taal04!$B$33,1)+4,LEN(Taal04!$B$33)+1-(FIND(", 3",Taal04!$B$33,1)+4))</f>
        <v>1 = winst voor de thuisploeg                                                  2 = winst voor de uitploeg                                                  3 = gelijkspel</v>
      </c>
      <c r="E58" s="1335"/>
      <c r="F58" s="1335"/>
      <c r="G58" s="1335"/>
      <c r="H58" s="1335"/>
      <c r="I58" s="370"/>
      <c r="J58" s="370"/>
      <c r="K58" s="370"/>
      <c r="L58" s="370"/>
      <c r="M58" s="370"/>
      <c r="N58" s="370"/>
      <c r="O58" s="370"/>
      <c r="P58" s="370"/>
      <c r="Q58" s="370"/>
      <c r="R58" s="370"/>
      <c r="S58" s="370"/>
      <c r="T58" s="370"/>
      <c r="U58" s="370"/>
      <c r="V58" s="370"/>
      <c r="W58" s="370"/>
      <c r="X58" s="17"/>
      <c r="Y58" s="17"/>
      <c r="Z58" s="61"/>
      <c r="AA58" s="17"/>
      <c r="AB58" s="5"/>
      <c r="AC58" s="271"/>
      <c r="AD58" s="219"/>
      <c r="AE58" s="271"/>
      <c r="AF58" s="219"/>
      <c r="AG58" s="5"/>
      <c r="AH58" s="5"/>
      <c r="AI58" s="5"/>
      <c r="AJ58" s="448">
        <f>4*3+1+LEN("CONTROLE")-2</f>
        <v>19</v>
      </c>
      <c r="AK58" s="4"/>
      <c r="AL58" s="4"/>
      <c r="AM58" s="4"/>
      <c r="AN58" s="4"/>
      <c r="AO58" s="1"/>
      <c r="AP58" s="92"/>
      <c r="AQ58" s="711"/>
      <c r="AR58" s="715"/>
      <c r="AS58" s="721" t="str">
        <f ca="1">IF(AT58=$AR$11,$AQ$11,IF(AT58=$AR$12,$AQ$12,VLOOKUP(AT58,Voorblad!$X$67:$Z$98,2,FALSE)))</f>
        <v>Oostenrijk</v>
      </c>
      <c r="AT58" s="722" t="str">
        <f t="shared" ca="1" si="11"/>
        <v>D3</v>
      </c>
      <c r="AU58" s="721" t="str">
        <f ca="1">IF(AV58=$AR$11,$AQ$11,IF(AV58=$AR$12,$AQ$12,VLOOKUP(AV58,Voorblad!$X$67:$Z$98,2,FALSE)))</f>
        <v>Zwitserland</v>
      </c>
      <c r="AV58" s="722" t="str">
        <f t="shared" ca="1" si="12"/>
        <v>A4</v>
      </c>
      <c r="AW58" s="721" t="str">
        <f ca="1">IF(AX58=$AR$11,$AQ$11,IF(AX58=$AR$12,$AQ$12,VLOOKUP(AX58,Voorblad!$X$67:$Z$98,2,FALSE)))</f>
        <v>Italië</v>
      </c>
      <c r="AX58" s="722" t="str">
        <f t="shared" ca="1" si="13"/>
        <v>B3</v>
      </c>
      <c r="AY58" s="721" t="str">
        <f ca="1">IF(AZ58=$AR$11,$AQ$11,IF(AZ58=$AR$12,$AQ$12,VLOOKUP(AZ58,Voorblad!$X$67:$Z$98,2,FALSE)))</f>
        <v>Turkije</v>
      </c>
      <c r="AZ58" s="722" t="str">
        <f t="shared" ca="1" si="14"/>
        <v>F1</v>
      </c>
      <c r="BA58" s="725">
        <f t="shared" si="15"/>
        <v>16</v>
      </c>
    </row>
    <row r="59" spans="1:53" ht="26.25" customHeight="1" x14ac:dyDescent="0.4">
      <c r="A59" s="163"/>
      <c r="B59" s="17"/>
      <c r="C59" s="1049"/>
      <c r="D59" s="1335"/>
      <c r="E59" s="1335"/>
      <c r="F59" s="1335"/>
      <c r="G59" s="1335"/>
      <c r="H59" s="1335"/>
      <c r="I59" s="17"/>
      <c r="J59" s="17"/>
      <c r="K59" s="907"/>
      <c r="N59" s="907"/>
      <c r="Q59" s="1092" t="str">
        <f ca="1">Taal04!$B$32</f>
        <v>Europees kampioen</v>
      </c>
      <c r="R59" s="907" t="s">
        <v>16</v>
      </c>
      <c r="S59" s="1334"/>
      <c r="T59" s="1334"/>
      <c r="U59" s="1334"/>
      <c r="V59" s="1334"/>
      <c r="W59" s="1334"/>
      <c r="X59" s="1334"/>
      <c r="Y59" s="1334"/>
      <c r="Z59" s="61"/>
      <c r="AA59" s="17"/>
      <c r="AB59" s="5"/>
      <c r="AC59" s="5"/>
      <c r="AD59" s="13"/>
      <c r="AE59" s="271" t="str">
        <f>IF(OR(S59="",ISBLANK(S59),S59=$AQ$11),"OO",IF(TYPE(VLOOKUP(S59,Taal02!$C$100:$D$419,2,FALSE))=16,"XX",VLOOKUP(S59,Taal02!$C$100:$D$419,2,FALSE)))</f>
        <v>OO</v>
      </c>
      <c r="AF59" s="219" t="str">
        <f>IF(AE59="OO","LEEG",IF(AE59="XX","FOUT",VLOOKUP(AE59,Voorblad!$X$65:$Z$98,3,FALSE)))</f>
        <v>LEEG</v>
      </c>
      <c r="AG59" s="5"/>
      <c r="AH59" s="383" t="s">
        <v>2387</v>
      </c>
      <c r="AI59" s="5"/>
      <c r="AJ59" s="5"/>
      <c r="AK59" s="1"/>
      <c r="AL59" s="4" t="str">
        <f>IF(AF59="LEEG","LEEG",IF(TYPE(AF59)=2,IF(LEN(AF59)=2,"GOED","ONGELDIG"),"ONGELDIG"))</f>
        <v>LEEG</v>
      </c>
      <c r="AM59" s="1"/>
      <c r="AN59" s="1"/>
      <c r="AO59" s="139" t="str">
        <f>IF(AL59="GOED",AF59&amp;"|","FOUT")</f>
        <v>FOUT</v>
      </c>
      <c r="AP59" s="92">
        <f>LEN(AO59)</f>
        <v>4</v>
      </c>
      <c r="AQ59" s="711"/>
      <c r="AR59" s="715"/>
      <c r="AS59" s="721" t="str">
        <f ca="1">IF(AT59=$AR$11,$AQ$11,IF(AT59=$AR$12,$AQ$12,VLOOKUP(AT59,Voorblad!$X$67:$Z$98,2,FALSE)))</f>
        <v>Polen</v>
      </c>
      <c r="AT59" s="722" t="str">
        <f t="shared" ca="1" si="11"/>
        <v>D1</v>
      </c>
      <c r="AU59" s="721" t="str">
        <f ca="1">IF(AV59=$AR$11,$AQ$11,IF(AV59=$AR$12,$AQ$12,VLOOKUP(AV59,Voorblad!$X$67:$Z$98,2,FALSE)))</f>
        <v/>
      </c>
      <c r="AV59" s="722" t="str">
        <f t="shared" ca="1" si="12"/>
        <v>??</v>
      </c>
      <c r="AW59" s="721" t="str">
        <f ca="1">IF(AX59=$AR$11,$AQ$11,IF(AX59=$AR$12,$AQ$12,VLOOKUP(AX59,Voorblad!$X$67:$Z$98,2,FALSE)))</f>
        <v>Kroatië</v>
      </c>
      <c r="AX59" s="722" t="str">
        <f t="shared" ca="1" si="13"/>
        <v>B2</v>
      </c>
      <c r="AY59" s="721" t="str">
        <f ca="1">IF(AZ59=$AR$11,$AQ$11,IF(AZ59=$AR$12,$AQ$12,VLOOKUP(AZ59,Voorblad!$X$67:$Z$98,2,FALSE)))</f>
        <v/>
      </c>
      <c r="AZ59" s="722" t="str">
        <f t="shared" ca="1" si="14"/>
        <v>??</v>
      </c>
      <c r="BA59" s="725">
        <f t="shared" si="15"/>
        <v>18</v>
      </c>
    </row>
    <row r="60" spans="1:53" ht="15" customHeight="1" x14ac:dyDescent="0.25">
      <c r="A60" s="163"/>
      <c r="B60" s="17"/>
      <c r="C60" s="1049"/>
      <c r="D60" s="1335"/>
      <c r="E60" s="1335"/>
      <c r="F60" s="1335"/>
      <c r="G60" s="1335"/>
      <c r="H60" s="1335"/>
      <c r="I60" s="17"/>
      <c r="J60" s="17"/>
      <c r="K60" s="17"/>
      <c r="L60" s="17"/>
      <c r="M60" s="17"/>
      <c r="N60" s="17"/>
      <c r="O60" s="1339" t="str">
        <f ca="1">IF($AB$9=1," "&amp;AE60,IF($AB$9=2,IF(AE59="OO"," "&amp;AE60,""),""))</f>
        <v xml:space="preserve"> </v>
      </c>
      <c r="P60" s="1339"/>
      <c r="Q60" s="1339"/>
      <c r="R60" s="1339"/>
      <c r="S60" s="1339"/>
      <c r="T60" s="1339"/>
      <c r="U60" s="1339"/>
      <c r="V60" s="17"/>
      <c r="W60" s="17"/>
      <c r="X60" s="17"/>
      <c r="Y60" s="17"/>
      <c r="Z60" s="61"/>
      <c r="AA60" s="17"/>
      <c r="AB60" s="5"/>
      <c r="AC60" s="10"/>
      <c r="AD60" s="5"/>
      <c r="AE60" s="1336" t="str">
        <f ca="1">AM112</f>
        <v/>
      </c>
      <c r="AF60" s="1336"/>
      <c r="AG60" s="5"/>
      <c r="AH60" s="5"/>
      <c r="AI60" s="5"/>
      <c r="AJ60" s="5"/>
      <c r="AK60" s="1"/>
      <c r="AL60" s="1"/>
      <c r="AM60" s="1"/>
      <c r="AN60" s="1"/>
      <c r="AO60" s="1"/>
      <c r="AP60" s="92"/>
      <c r="AQ60" s="711"/>
      <c r="AR60" s="715"/>
      <c r="AS60" s="721" t="str">
        <f ca="1">IF(AT60=$AR$11,$AQ$11,IF(AT60=$AR$12,$AQ$12,VLOOKUP(AT60,Voorblad!$X$67:$Z$98,2,FALSE)))</f>
        <v>Portugal</v>
      </c>
      <c r="AT60" s="722" t="str">
        <f t="shared" ca="1" si="11"/>
        <v>F3</v>
      </c>
      <c r="AU60" s="721" t="str">
        <f ca="1">IF(AV60=$AR$11,$AQ$11,IF(AV60=$AR$12,$AQ$12,VLOOKUP(AV60,Voorblad!$X$67:$Z$98,2,FALSE)))</f>
        <v/>
      </c>
      <c r="AV60" s="722" t="str">
        <f t="shared" ca="1" si="12"/>
        <v>??</v>
      </c>
      <c r="AW60" s="721" t="str">
        <f ca="1">IF(AX60=$AR$11,$AQ$11,IF(AX60=$AR$12,$AQ$12,VLOOKUP(AX60,Voorblad!$X$67:$Z$98,2,FALSE)))</f>
        <v>Nederland</v>
      </c>
      <c r="AX60" s="722" t="str">
        <f t="shared" ca="1" si="13"/>
        <v>D2</v>
      </c>
      <c r="AY60" s="721" t="str">
        <f ca="1">IF(AZ60=$AR$11,$AQ$11,IF(AZ60=$AR$12,$AQ$12,VLOOKUP(AZ60,Voorblad!$X$67:$Z$98,2,FALSE)))</f>
        <v/>
      </c>
      <c r="AZ60" s="722" t="str">
        <f t="shared" ca="1" si="14"/>
        <v>??</v>
      </c>
      <c r="BA60" s="725">
        <f t="shared" si="15"/>
        <v>20</v>
      </c>
    </row>
    <row r="61" spans="1:53" ht="12" customHeight="1" x14ac:dyDescent="0.25">
      <c r="A61" s="163"/>
      <c r="B61" s="17"/>
      <c r="C61" s="1050"/>
      <c r="D61" s="108"/>
      <c r="E61" s="108"/>
      <c r="F61" s="108"/>
      <c r="G61" s="108"/>
      <c r="H61" s="108"/>
      <c r="I61" s="108"/>
      <c r="J61" s="108"/>
      <c r="K61" s="108"/>
      <c r="L61" s="108"/>
      <c r="M61" s="108"/>
      <c r="N61" s="108"/>
      <c r="O61" s="1040"/>
      <c r="P61" s="1040"/>
      <c r="Q61" s="1040"/>
      <c r="R61" s="1040"/>
      <c r="S61" s="1040"/>
      <c r="T61" s="1040"/>
      <c r="U61" s="1040"/>
      <c r="V61" s="108"/>
      <c r="W61" s="108"/>
      <c r="X61" s="108"/>
      <c r="Y61" s="108"/>
      <c r="Z61" s="1052"/>
      <c r="AA61" s="17"/>
      <c r="AB61" s="5"/>
      <c r="AC61" s="10"/>
      <c r="AD61" s="5"/>
      <c r="AE61" s="10"/>
      <c r="AF61" s="10"/>
      <c r="AG61" s="5"/>
      <c r="AH61" s="5"/>
      <c r="AI61" s="5"/>
      <c r="AJ61" s="5"/>
      <c r="AK61" s="1"/>
      <c r="AL61" s="1"/>
      <c r="AM61" s="1"/>
      <c r="AN61" s="1"/>
      <c r="AO61" s="1"/>
      <c r="AP61" s="92"/>
      <c r="AQ61" s="711"/>
      <c r="AR61" s="715"/>
      <c r="AS61" s="721" t="str">
        <f ca="1">IF(AT61=$AR$11,$AQ$11,IF(AT61=$AR$12,$AQ$12,VLOOKUP(AT61,Voorblad!$X$67:$Z$98,2,FALSE)))</f>
        <v>Roemenië</v>
      </c>
      <c r="AT61" s="722" t="str">
        <f t="shared" ca="1" si="11"/>
        <v>E3</v>
      </c>
      <c r="AU61" s="721" t="str">
        <f ca="1">IF(AV61=$AR$11,$AQ$11,IF(AV61=$AR$12,$AQ$12,VLOOKUP(AV61,Voorblad!$X$67:$Z$98,2,FALSE)))</f>
        <v/>
      </c>
      <c r="AV61" s="722" t="str">
        <f t="shared" ca="1" si="12"/>
        <v>??</v>
      </c>
      <c r="AW61" s="721" t="str">
        <f ca="1">IF(AX61=$AR$11,$AQ$11,IF(AX61=$AR$12,$AQ$12,VLOOKUP(AX61,Voorblad!$X$67:$Z$98,2,FALSE)))</f>
        <v>Oekraïne</v>
      </c>
      <c r="AX61" s="722" t="str">
        <f t="shared" ca="1" si="13"/>
        <v>E4</v>
      </c>
      <c r="AY61" s="721" t="str">
        <f ca="1">IF(AZ61=$AR$11,$AQ$11,IF(AZ61=$AR$12,$AQ$12,VLOOKUP(AZ61,Voorblad!$X$67:$Z$98,2,FALSE)))</f>
        <v/>
      </c>
      <c r="AZ61" s="722" t="str">
        <f t="shared" ca="1" si="14"/>
        <v>??</v>
      </c>
      <c r="BA61" s="725">
        <f t="shared" si="15"/>
        <v>22</v>
      </c>
    </row>
    <row r="62" spans="1:53" ht="15" customHeight="1" x14ac:dyDescent="0.25">
      <c r="A62" s="163"/>
      <c r="B62" s="17"/>
      <c r="C62" s="17"/>
      <c r="D62" s="17"/>
      <c r="E62" s="17"/>
      <c r="F62" s="17"/>
      <c r="G62" s="17"/>
      <c r="H62" s="17"/>
      <c r="I62" s="17"/>
      <c r="J62" s="17"/>
      <c r="K62" s="17"/>
      <c r="L62" s="17"/>
      <c r="M62" s="17"/>
      <c r="N62" s="17"/>
      <c r="O62" s="167"/>
      <c r="P62" s="167"/>
      <c r="Q62" s="167"/>
      <c r="R62" s="167"/>
      <c r="S62" s="167"/>
      <c r="T62" s="167"/>
      <c r="U62" s="167"/>
      <c r="V62" s="17"/>
      <c r="W62" s="17"/>
      <c r="X62" s="17"/>
      <c r="Y62" s="17"/>
      <c r="Z62" s="17"/>
      <c r="AA62" s="17"/>
      <c r="AB62" s="306"/>
      <c r="AC62" s="306"/>
      <c r="AD62" s="306"/>
      <c r="AE62" s="306"/>
      <c r="AF62" s="306"/>
      <c r="AG62" s="306"/>
      <c r="AH62" s="306"/>
      <c r="AI62" s="773" t="s">
        <v>195</v>
      </c>
      <c r="AJ62" s="774">
        <f>IF(AI11=1,0,IF(COUNTIF(AH13:AJ57,"DUBBEL")&gt;0,1,0))</f>
        <v>0</v>
      </c>
      <c r="AK62" s="1"/>
      <c r="AL62" s="1"/>
      <c r="AM62" s="1"/>
      <c r="AN62" s="1"/>
      <c r="AO62" s="1"/>
      <c r="AP62" s="92"/>
      <c r="AQ62" s="711"/>
      <c r="AR62" s="715"/>
      <c r="AS62" s="721" t="str">
        <f ca="1">IF(AT62=$AR$11,$AQ$11,IF(AT62=$AR$12,$AQ$12,VLOOKUP(AT62,Voorblad!$X$67:$Z$98,2,FALSE)))</f>
        <v>Servië</v>
      </c>
      <c r="AT62" s="722" t="str">
        <f t="shared" ca="1" si="11"/>
        <v>C3</v>
      </c>
      <c r="AU62" s="721" t="str">
        <f ca="1">IF(AV62=$AR$11,$AQ$11,IF(AV62=$AR$12,$AQ$12,VLOOKUP(AV62,Voorblad!$X$67:$Z$98,2,FALSE)))</f>
        <v/>
      </c>
      <c r="AV62" s="722" t="str">
        <f t="shared" ca="1" si="12"/>
        <v>??</v>
      </c>
      <c r="AW62" s="721" t="str">
        <f ca="1">IF(AX62=$AR$11,$AQ$11,IF(AX62=$AR$12,$AQ$12,VLOOKUP(AX62,Voorblad!$X$67:$Z$98,2,FALSE)))</f>
        <v>Oostenrijk</v>
      </c>
      <c r="AX62" s="722" t="str">
        <f t="shared" ca="1" si="13"/>
        <v>D3</v>
      </c>
      <c r="AY62" s="721" t="str">
        <f ca="1">IF(AZ62=$AR$11,$AQ$11,IF(AZ62=$AR$12,$AQ$12,VLOOKUP(AZ62,Voorblad!$X$67:$Z$98,2,FALSE)))</f>
        <v/>
      </c>
      <c r="AZ62" s="722" t="str">
        <f t="shared" ca="1" si="14"/>
        <v>??</v>
      </c>
      <c r="BA62" s="725">
        <f t="shared" si="15"/>
        <v>24</v>
      </c>
    </row>
    <row r="63" spans="1:53" ht="15" customHeight="1" x14ac:dyDescent="0.25">
      <c r="B63" s="17"/>
      <c r="C63" s="1086"/>
      <c r="D63" s="1076" t="str">
        <f>IF(Reglement!D71="","",Reglement!D71)</f>
        <v>www.excel-pool.nl</v>
      </c>
      <c r="E63" s="1087"/>
      <c r="F63" s="1087"/>
      <c r="G63" s="1087"/>
      <c r="H63" s="1087"/>
      <c r="I63" s="1087"/>
      <c r="J63" s="1087"/>
      <c r="K63" s="1087"/>
      <c r="L63" s="1087"/>
      <c r="M63" s="1087"/>
      <c r="N63" s="1087"/>
      <c r="O63" s="1087"/>
      <c r="P63" s="1087"/>
      <c r="Q63" s="1087"/>
      <c r="R63" s="1087"/>
      <c r="S63" s="1087"/>
      <c r="T63" s="1087"/>
      <c r="U63" s="1087"/>
      <c r="V63" s="1087"/>
      <c r="W63" s="1087"/>
      <c r="X63" s="1087"/>
      <c r="Y63" s="1078" t="str">
        <f>IF(Reglement!M71="","",Reglement!M71)</f>
        <v>©2024 Eric de Jong v24.00hd</v>
      </c>
      <c r="Z63" s="1079"/>
      <c r="AA63" s="17"/>
      <c r="AB63" s="1340" t="s">
        <v>293</v>
      </c>
      <c r="AC63" s="1340"/>
      <c r="AD63" s="1340"/>
      <c r="AE63" s="1340"/>
      <c r="AF63" s="1340"/>
      <c r="AG63" s="1340"/>
      <c r="AH63" s="1340"/>
      <c r="AI63" s="1340"/>
      <c r="AJ63" s="266"/>
      <c r="AK63" s="43"/>
      <c r="AL63" s="43"/>
      <c r="AM63" s="43"/>
      <c r="AN63" s="43"/>
      <c r="AO63" s="14" t="s">
        <v>196</v>
      </c>
      <c r="AP63" s="92">
        <v>0</v>
      </c>
      <c r="AQ63" s="711"/>
      <c r="AR63" s="715"/>
      <c r="AS63" s="721" t="str">
        <f ca="1">IF(AT63=$AR$11,$AQ$11,IF(AT63=$AR$12,$AQ$12,VLOOKUP(AT63,Voorblad!$X$67:$Z$98,2,FALSE)))</f>
        <v>Slovenië</v>
      </c>
      <c r="AT63" s="722" t="str">
        <f t="shared" ca="1" si="11"/>
        <v>C1</v>
      </c>
      <c r="AU63" s="721" t="str">
        <f ca="1">IF(AV63=$AR$11,$AQ$11,IF(AV63=$AR$12,$AQ$12,VLOOKUP(AV63,Voorblad!$X$67:$Z$98,2,FALSE)))</f>
        <v/>
      </c>
      <c r="AV63" s="722" t="str">
        <f t="shared" ca="1" si="12"/>
        <v>??</v>
      </c>
      <c r="AW63" s="721" t="str">
        <f ca="1">IF(AX63=$AR$11,$AQ$11,IF(AX63=$AR$12,$AQ$12,VLOOKUP(AX63,Voorblad!$X$67:$Z$98,2,FALSE)))</f>
        <v>Polen</v>
      </c>
      <c r="AX63" s="722" t="str">
        <f t="shared" ca="1" si="13"/>
        <v>D1</v>
      </c>
      <c r="AY63" s="721" t="str">
        <f ca="1">IF(AZ63=$AR$11,$AQ$11,IF(AZ63=$AR$12,$AQ$12,VLOOKUP(AZ63,Voorblad!$X$67:$Z$98,2,FALSE)))</f>
        <v/>
      </c>
      <c r="AZ63" s="722" t="str">
        <f t="shared" ca="1" si="14"/>
        <v>??</v>
      </c>
      <c r="BA63" s="725">
        <f t="shared" si="15"/>
        <v>26</v>
      </c>
    </row>
    <row r="64" spans="1:53"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340"/>
      <c r="AC64" s="1340"/>
      <c r="AD64" s="1340"/>
      <c r="AE64" s="1340"/>
      <c r="AF64" s="1340"/>
      <c r="AG64" s="1340"/>
      <c r="AH64" s="1340"/>
      <c r="AI64" s="1340"/>
      <c r="AJ64" s="266"/>
      <c r="AK64" s="168"/>
      <c r="AL64" s="168"/>
      <c r="AM64" s="168"/>
      <c r="AN64" s="168"/>
      <c r="AO64" s="14" t="str">
        <f>"De lengte van een correcte finalecode is "&amp;IF(A50="H",93,99)&amp;" tekens ---&gt;"</f>
        <v>De lengte van een correcte finalecode is 93 tekens ---&gt;</v>
      </c>
      <c r="AP64" s="169">
        <f>SUM(AP13:AP63)</f>
        <v>64</v>
      </c>
      <c r="AQ64" s="711"/>
      <c r="AR64" s="715"/>
      <c r="AS64" s="721" t="str">
        <f ca="1">IF(AT64=$AR$11,$AQ$11,IF(AT64=$AR$12,$AQ$12,VLOOKUP(AT64,Voorblad!$X$67:$Z$98,2,FALSE)))</f>
        <v>Slowakije</v>
      </c>
      <c r="AT64" s="722" t="str">
        <f t="shared" ca="1" si="11"/>
        <v>E2</v>
      </c>
      <c r="AU64" s="721" t="str">
        <f ca="1">IF(AV64=$AR$11,$AQ$11,IF(AV64=$AR$12,$AQ$12,VLOOKUP(AV64,Voorblad!$X$67:$Z$98,2,FALSE)))</f>
        <v/>
      </c>
      <c r="AV64" s="722" t="str">
        <f t="shared" ca="1" si="12"/>
        <v>??</v>
      </c>
      <c r="AW64" s="721" t="str">
        <f ca="1">IF(AX64=$AR$11,$AQ$11,IF(AX64=$AR$12,$AQ$12,VLOOKUP(AX64,Voorblad!$X$67:$Z$98,2,FALSE)))</f>
        <v>Roemenië</v>
      </c>
      <c r="AX64" s="722" t="str">
        <f t="shared" ca="1" si="13"/>
        <v>E3</v>
      </c>
      <c r="AY64" s="721" t="str">
        <f ca="1">IF(AZ64=$AR$11,$AQ$11,IF(AZ64=$AR$12,$AQ$12,VLOOKUP(AZ64,Voorblad!$X$67:$Z$98,2,FALSE)))</f>
        <v/>
      </c>
      <c r="AZ64" s="722" t="str">
        <f t="shared" ca="1" si="14"/>
        <v>??</v>
      </c>
      <c r="BA64" s="725">
        <f t="shared" si="15"/>
        <v>28</v>
      </c>
    </row>
    <row r="65" spans="3:53" ht="15" customHeight="1" x14ac:dyDescent="0.4">
      <c r="AB65" s="1340"/>
      <c r="AC65" s="1340"/>
      <c r="AD65" s="1340"/>
      <c r="AE65" s="1340"/>
      <c r="AF65" s="1340"/>
      <c r="AG65" s="1340"/>
      <c r="AH65" s="1340"/>
      <c r="AI65" s="1340"/>
      <c r="AJ65" s="266"/>
      <c r="AK65" s="168"/>
      <c r="AL65" s="170"/>
      <c r="AM65" s="170"/>
      <c r="AN65" s="170"/>
      <c r="AO65" s="170"/>
      <c r="AP65" s="170"/>
      <c r="AQ65" s="711"/>
      <c r="AR65" s="715"/>
      <c r="AS65" s="721" t="str">
        <f ca="1">IF(AT65=$AR$11,$AQ$11,IF(AT65=$AR$12,$AQ$12,VLOOKUP(AT65,Voorblad!$X$67:$Z$98,2,FALSE)))</f>
        <v>Tsjechië</v>
      </c>
      <c r="AT65" s="722" t="str">
        <f t="shared" ca="1" si="11"/>
        <v>F4</v>
      </c>
      <c r="AU65" s="721" t="str">
        <f ca="1">IF(AV65=$AR$11,$AQ$11,IF(AV65=$AR$12,$AQ$12,VLOOKUP(AV65,Voorblad!$X$67:$Z$98,2,FALSE)))</f>
        <v/>
      </c>
      <c r="AV65" s="722" t="str">
        <f t="shared" ca="1" si="12"/>
        <v>??</v>
      </c>
      <c r="AW65" s="721" t="str">
        <f ca="1">IF(AX65=$AR$11,$AQ$11,IF(AX65=$AR$12,$AQ$12,VLOOKUP(AX65,Voorblad!$X$67:$Z$98,2,FALSE)))</f>
        <v>Schotland</v>
      </c>
      <c r="AX65" s="722" t="str">
        <f t="shared" ca="1" si="13"/>
        <v>A2</v>
      </c>
      <c r="AY65" s="721" t="str">
        <f ca="1">IF(AZ65=$AR$11,$AQ$11,IF(AZ65=$AR$12,$AQ$12,VLOOKUP(AZ65,Voorblad!$X$67:$Z$98,2,FALSE)))</f>
        <v/>
      </c>
      <c r="AZ65" s="722" t="str">
        <f t="shared" ca="1" si="14"/>
        <v>??</v>
      </c>
      <c r="BA65" s="725">
        <f t="shared" si="15"/>
        <v>30</v>
      </c>
    </row>
    <row r="66" spans="3:53" ht="15" customHeight="1" x14ac:dyDescent="0.4">
      <c r="C66" s="113"/>
      <c r="AB66" s="270" t="s">
        <v>281</v>
      </c>
      <c r="AC66" s="269" t="s">
        <v>275</v>
      </c>
      <c r="AD66" s="266"/>
      <c r="AE66" s="266"/>
      <c r="AF66" s="266"/>
      <c r="AG66" s="266"/>
      <c r="AH66" s="266"/>
      <c r="AI66" s="266"/>
      <c r="AJ66" s="266"/>
      <c r="AK66" s="168"/>
      <c r="AL66" s="1346" t="s">
        <v>197</v>
      </c>
      <c r="AM66" s="1346"/>
      <c r="AN66" s="1346"/>
      <c r="AO66" s="1346"/>
      <c r="AP66" s="170"/>
      <c r="AQ66" s="711"/>
      <c r="AR66" s="715"/>
      <c r="AS66" s="721" t="str">
        <f ca="1">IF(AT66=$AR$11,$AQ$11,IF(AT66=$AR$12,$AQ$12,VLOOKUP(AT66,Voorblad!$X$67:$Z$98,2,FALSE)))</f>
        <v>Turkije</v>
      </c>
      <c r="AT66" s="722" t="str">
        <f t="shared" ca="1" si="11"/>
        <v>F1</v>
      </c>
      <c r="AU66" s="721" t="str">
        <f ca="1">IF(AV66=$AR$11,$AQ$11,IF(AV66=$AR$12,$AQ$12,VLOOKUP(AV66,Voorblad!$X$67:$Z$98,2,FALSE)))</f>
        <v/>
      </c>
      <c r="AV66" s="722" t="str">
        <f t="shared" ca="1" si="12"/>
        <v>??</v>
      </c>
      <c r="AW66" s="721" t="str">
        <f ca="1">IF(AX66=$AR$11,$AQ$11,IF(AX66=$AR$12,$AQ$12,VLOOKUP(AX66,Voorblad!$X$67:$Z$98,2,FALSE)))</f>
        <v>Servië</v>
      </c>
      <c r="AX66" s="722" t="str">
        <f t="shared" ca="1" si="13"/>
        <v>C3</v>
      </c>
      <c r="AY66" s="721" t="str">
        <f ca="1">IF(AZ66=$AR$11,$AQ$11,IF(AZ66=$AR$12,$AQ$12,VLOOKUP(AZ66,Voorblad!$X$67:$Z$98,2,FALSE)))</f>
        <v/>
      </c>
      <c r="AZ66" s="722" t="str">
        <f t="shared" ca="1" si="14"/>
        <v>??</v>
      </c>
      <c r="BA66" s="725">
        <f t="shared" si="15"/>
        <v>32</v>
      </c>
    </row>
    <row r="67" spans="3:53" ht="15" customHeight="1" x14ac:dyDescent="0.4">
      <c r="C67" s="113"/>
      <c r="AB67" s="267"/>
      <c r="AC67" s="268" t="e">
        <f>#REF!</f>
        <v>#REF!</v>
      </c>
      <c r="AD67" s="266"/>
      <c r="AE67" s="266"/>
      <c r="AF67" s="266"/>
      <c r="AG67" s="266">
        <f>IF(TYPE(AC67)=2,1,0)</f>
        <v>0</v>
      </c>
      <c r="AH67" s="266"/>
      <c r="AI67" s="266"/>
      <c r="AJ67" s="266"/>
      <c r="AK67" s="168"/>
      <c r="AL67" s="1347"/>
      <c r="AM67" s="1347"/>
      <c r="AN67" s="1347"/>
      <c r="AO67" s="1347"/>
      <c r="AP67" s="170"/>
      <c r="AQ67" s="711"/>
      <c r="AR67" s="715"/>
      <c r="AS67" s="721" t="str">
        <f ca="1">IF(AT67=$AR$11,$AQ$11,IF(AT67=$AR$12,$AQ$12,VLOOKUP(AT67,Voorblad!$X$67:$Z$98,2,FALSE)))</f>
        <v/>
      </c>
      <c r="AT67" s="722" t="str">
        <f t="shared" ca="1" si="11"/>
        <v>??</v>
      </c>
      <c r="AU67" s="721" t="str">
        <f ca="1">IF(AV67=$AR$11,$AQ$11,IF(AV67=$AR$12,$AQ$12,VLOOKUP(AV67,Voorblad!$X$67:$Z$98,2,FALSE)))</f>
        <v/>
      </c>
      <c r="AV67" s="722" t="str">
        <f t="shared" ca="1" si="12"/>
        <v>??</v>
      </c>
      <c r="AW67" s="721" t="str">
        <f ca="1">IF(AX67=$AR$11,$AQ$11,IF(AX67=$AR$12,$AQ$12,VLOOKUP(AX67,Voorblad!$X$67:$Z$98,2,FALSE)))</f>
        <v>Slovenië</v>
      </c>
      <c r="AX67" s="722" t="str">
        <f t="shared" ca="1" si="13"/>
        <v>C1</v>
      </c>
      <c r="AY67" s="721" t="str">
        <f ca="1">IF(AZ67=$AR$11,$AQ$11,IF(AZ67=$AR$12,$AQ$12,VLOOKUP(AZ67,Voorblad!$X$67:$Z$98,2,FALSE)))</f>
        <v/>
      </c>
      <c r="AZ67" s="722" t="str">
        <f t="shared" ca="1" si="14"/>
        <v>??</v>
      </c>
      <c r="BA67" s="725">
        <f t="shared" si="15"/>
        <v>34</v>
      </c>
    </row>
    <row r="68" spans="3:53" ht="15" customHeight="1" x14ac:dyDescent="0.4">
      <c r="C68" s="113"/>
      <c r="AB68" s="270" t="s">
        <v>282</v>
      </c>
      <c r="AC68" s="269" t="s">
        <v>276</v>
      </c>
      <c r="AD68" s="266"/>
      <c r="AE68" s="266"/>
      <c r="AF68" s="266"/>
      <c r="AG68" s="266"/>
      <c r="AH68" s="266"/>
      <c r="AI68" s="266"/>
      <c r="AJ68" s="266"/>
      <c r="AK68" s="168"/>
      <c r="AL68" s="1341" t="str">
        <f>AO14&amp;AO16&amp;AO18&amp;AO20&amp;AO22&amp;AO24&amp;AO26&amp;AO28&amp;AO36&amp;AO38&amp;AO40&amp;AO42&amp;AO46&amp;AO48&amp;IF(A50="H","",AO52)&amp;AO56&amp;AO59</f>
        <v>FOUTFOUTFOUTFOUTFOUTFOUTFOUTFOUTFOUTFOUTFOUTFOUTFOUTFOUTFOUTFOUT</v>
      </c>
      <c r="AM68" s="1342"/>
      <c r="AN68" s="1342"/>
      <c r="AO68" s="1342"/>
      <c r="AP68" s="1343"/>
      <c r="AQ68" s="711"/>
      <c r="AR68" s="715"/>
      <c r="AS68" s="721" t="str">
        <f ca="1">IF(AT68=$AR$11,$AQ$11,IF(AT68=$AR$12,$AQ$12,VLOOKUP(AT68,Voorblad!$X$67:$Z$98,2,FALSE)))</f>
        <v/>
      </c>
      <c r="AT68" s="722" t="str">
        <f t="shared" ca="1" si="11"/>
        <v>??</v>
      </c>
      <c r="AU68" s="721" t="str">
        <f ca="1">IF(AV68=$AR$11,$AQ$11,IF(AV68=$AR$12,$AQ$12,VLOOKUP(AV68,Voorblad!$X$67:$Z$98,2,FALSE)))</f>
        <v/>
      </c>
      <c r="AV68" s="722" t="str">
        <f t="shared" ca="1" si="12"/>
        <v>??</v>
      </c>
      <c r="AW68" s="721" t="str">
        <f ca="1">IF(AX68=$AR$11,$AQ$11,IF(AX68=$AR$12,$AQ$12,VLOOKUP(AX68,Voorblad!$X$67:$Z$98,2,FALSE)))</f>
        <v>Slowakije</v>
      </c>
      <c r="AX68" s="722" t="str">
        <f t="shared" ca="1" si="13"/>
        <v>E2</v>
      </c>
      <c r="AY68" s="721" t="str">
        <f ca="1">IF(AZ68=$AR$11,$AQ$11,IF(AZ68=$AR$12,$AQ$12,VLOOKUP(AZ68,Voorblad!$X$67:$Z$98,2,FALSE)))</f>
        <v/>
      </c>
      <c r="AZ68" s="722" t="str">
        <f t="shared" ca="1" si="14"/>
        <v>??</v>
      </c>
      <c r="BA68" s="725">
        <f t="shared" si="15"/>
        <v>36</v>
      </c>
    </row>
    <row r="69" spans="3:53" ht="15" customHeight="1" x14ac:dyDescent="0.4">
      <c r="AB69" s="267"/>
      <c r="AC69" s="268" t="str">
        <f>Groepswedstrijden!V72</f>
        <v>©2024 Eric de Jong v24.00hd</v>
      </c>
      <c r="AD69" s="266"/>
      <c r="AE69" s="266"/>
      <c r="AF69" s="266"/>
      <c r="AG69" s="266">
        <f>IF(TYPE(AC69)=2,1,0)</f>
        <v>1</v>
      </c>
      <c r="AH69" s="266"/>
      <c r="AI69" s="266"/>
      <c r="AJ69" s="266"/>
      <c r="AK69" s="168"/>
      <c r="AL69" s="1344"/>
      <c r="AM69" s="1219"/>
      <c r="AN69" s="1219"/>
      <c r="AO69" s="1219"/>
      <c r="AP69" s="1345"/>
      <c r="AQ69" s="711"/>
      <c r="AR69" s="715"/>
      <c r="AS69" s="721" t="str">
        <f ca="1">IF(AT69=$AR$11,$AQ$11,IF(AT69=$AR$12,$AQ$12,VLOOKUP(AT69,Voorblad!$X$67:$Z$98,2,FALSE)))</f>
        <v/>
      </c>
      <c r="AT69" s="722" t="str">
        <f t="shared" ca="1" si="11"/>
        <v>??</v>
      </c>
      <c r="AU69" s="721" t="str">
        <f ca="1">IF(AV69=$AR$11,$AQ$11,IF(AV69=$AR$12,$AQ$12,VLOOKUP(AV69,Voorblad!$X$67:$Z$98,2,FALSE)))</f>
        <v/>
      </c>
      <c r="AV69" s="722" t="str">
        <f t="shared" ca="1" si="12"/>
        <v>??</v>
      </c>
      <c r="AW69" s="721" t="str">
        <f ca="1">IF(AX69=$AR$11,$AQ$11,IF(AX69=$AR$12,$AQ$12,VLOOKUP(AX69,Voorblad!$X$67:$Z$98,2,FALSE)))</f>
        <v>Spanje</v>
      </c>
      <c r="AX69" s="722" t="str">
        <f t="shared" ca="1" si="13"/>
        <v>B1</v>
      </c>
      <c r="AY69" s="721" t="str">
        <f ca="1">IF(AZ69=$AR$11,$AQ$11,IF(AZ69=$AR$12,$AQ$12,VLOOKUP(AZ69,Voorblad!$X$67:$Z$98,2,FALSE)))</f>
        <v/>
      </c>
      <c r="AZ69" s="722" t="str">
        <f t="shared" ca="1" si="14"/>
        <v>??</v>
      </c>
      <c r="BA69" s="725">
        <f t="shared" si="15"/>
        <v>38</v>
      </c>
    </row>
    <row r="70" spans="3:53" ht="15" customHeight="1" x14ac:dyDescent="0.4">
      <c r="AB70" s="270" t="s">
        <v>283</v>
      </c>
      <c r="AC70" s="269" t="s">
        <v>280</v>
      </c>
      <c r="AD70" s="266"/>
      <c r="AE70" s="266"/>
      <c r="AF70" s="266"/>
      <c r="AG70" s="266"/>
      <c r="AH70" s="272" t="s">
        <v>295</v>
      </c>
      <c r="AI70" s="266"/>
      <c r="AJ70" s="266"/>
      <c r="AK70" s="168"/>
      <c r="AL70" s="1348" t="s">
        <v>993</v>
      </c>
      <c r="AM70" s="1348"/>
      <c r="AN70" s="1348"/>
      <c r="AO70" s="1349"/>
      <c r="AP70" s="171">
        <f>LEN(AL68)</f>
        <v>64</v>
      </c>
      <c r="AQ70" s="711"/>
      <c r="AR70" s="715"/>
      <c r="AS70" s="721" t="str">
        <f ca="1">IF(AT70=$AR$11,$AQ$11,IF(AT70=$AR$12,$AQ$12,VLOOKUP(AT70,Voorblad!$X$67:$Z$98,2,FALSE)))</f>
        <v/>
      </c>
      <c r="AT70" s="722" t="str">
        <f t="shared" ca="1" si="11"/>
        <v>??</v>
      </c>
      <c r="AU70" s="721" t="str">
        <f ca="1">IF(AV70=$AR$11,$AQ$11,IF(AV70=$AR$12,$AQ$12,VLOOKUP(AV70,Voorblad!$X$67:$Z$98,2,FALSE)))</f>
        <v/>
      </c>
      <c r="AV70" s="722" t="str">
        <f t="shared" ca="1" si="12"/>
        <v>??</v>
      </c>
      <c r="AW70" s="721" t="str">
        <f ca="1">IF(AX70=$AR$11,$AQ$11,IF(AX70=$AR$12,$AQ$12,VLOOKUP(AX70,Voorblad!$X$67:$Z$98,2,FALSE)))</f>
        <v>Zwitserland</v>
      </c>
      <c r="AX70" s="722" t="str">
        <f t="shared" ca="1" si="13"/>
        <v>A4</v>
      </c>
      <c r="AY70" s="721" t="str">
        <f ca="1">IF(AZ70=$AR$11,$AQ$11,IF(AZ70=$AR$12,$AQ$12,VLOOKUP(AZ70,Voorblad!$X$67:$Z$98,2,FALSE)))</f>
        <v/>
      </c>
      <c r="AZ70" s="722" t="str">
        <f t="shared" ca="1" si="14"/>
        <v>??</v>
      </c>
      <c r="BA70" s="725">
        <f t="shared" si="15"/>
        <v>40</v>
      </c>
    </row>
    <row r="71" spans="3:53" ht="15" customHeight="1" x14ac:dyDescent="0.4">
      <c r="AB71" s="266"/>
      <c r="AC71" s="268" t="str">
        <f>'Eindstand Groep'!P67</f>
        <v>©2024 Eric de Jong v24.00hd</v>
      </c>
      <c r="AD71" s="266"/>
      <c r="AE71" s="266"/>
      <c r="AF71" s="266"/>
      <c r="AG71" s="266">
        <f>IF(TYPE(AC71)=2,1,0)</f>
        <v>1</v>
      </c>
      <c r="AH71" s="273" t="s">
        <v>294</v>
      </c>
      <c r="AI71" s="266"/>
      <c r="AJ71" s="266"/>
      <c r="AK71" s="168"/>
      <c r="AL71" s="1350" t="s">
        <v>1250</v>
      </c>
      <c r="AM71" s="1351"/>
      <c r="AN71" s="342" t="str">
        <f>AO14&amp;AO16&amp;AO18&amp;AO20&amp;AO22&amp;AO24&amp;AO26&amp;AO28&amp;AO36&amp;AO38&amp;AO40&amp;AO42&amp;AO46&amp;AO48&amp;IF(A50="H","",AO52)&amp;AO56</f>
        <v>FOUTFOUTFOUTFOUTFOUTFOUTFOUTFOUTFOUTFOUTFOUTFOUTFOUTFOUTFOUT</v>
      </c>
      <c r="AO71" s="243" t="s">
        <v>198</v>
      </c>
      <c r="AP71" s="244" t="str">
        <f>IF(LEN(SUBSTITUTE(AL68,"FOUT","ONGELDIG"))=AP70,"GOED","FOUT")</f>
        <v>FOUT</v>
      </c>
      <c r="AQ71" s="712"/>
      <c r="AR71" s="716"/>
      <c r="AS71" s="721" t="str">
        <f ca="1">IF(AT71=$AR$11,$AQ$11,IF(AT71=$AR$12,$AQ$12,VLOOKUP(AT71,Voorblad!$X$67:$Z$98,2,FALSE)))</f>
        <v/>
      </c>
      <c r="AT71" s="722" t="str">
        <f t="shared" ca="1" si="11"/>
        <v>??</v>
      </c>
      <c r="AU71" s="721" t="str">
        <f ca="1">IF(AV71=$AR$11,$AQ$11,IF(AV71=$AR$12,$AQ$12,VLOOKUP(AV71,Voorblad!$X$67:$Z$98,2,FALSE)))</f>
        <v/>
      </c>
      <c r="AV71" s="722" t="str">
        <f t="shared" ca="1" si="12"/>
        <v>??</v>
      </c>
      <c r="AW71" s="721" t="str">
        <f ca="1">IF(AX71=$AR$11,$AQ$11,IF(AX71=$AR$12,$AQ$12,VLOOKUP(AX71,Voorblad!$X$67:$Z$98,2,FALSE)))</f>
        <v/>
      </c>
      <c r="AX71" s="722" t="str">
        <f t="shared" ca="1" si="13"/>
        <v>??</v>
      </c>
      <c r="AY71" s="721" t="str">
        <f ca="1">IF(AZ71=$AR$11,$AQ$11,IF(AZ71=$AR$12,$AQ$12,VLOOKUP(AZ71,Voorblad!$X$67:$Z$98,2,FALSE)))</f>
        <v/>
      </c>
      <c r="AZ71" s="722" t="str">
        <f t="shared" ca="1" si="14"/>
        <v>??</v>
      </c>
      <c r="BA71" s="726">
        <f t="shared" si="15"/>
        <v>42</v>
      </c>
    </row>
    <row r="72" spans="3:53" ht="15" customHeight="1" x14ac:dyDescent="0.25">
      <c r="AB72" s="266"/>
      <c r="AC72" s="266"/>
      <c r="AD72" s="266"/>
      <c r="AE72" s="266"/>
      <c r="AF72" s="266"/>
      <c r="AG72" s="266"/>
      <c r="AH72" s="266"/>
      <c r="AI72" s="266"/>
      <c r="AJ72" s="266"/>
      <c r="AK72" s="266"/>
      <c r="AL72" s="266"/>
      <c r="AM72" s="266"/>
      <c r="AN72" s="266"/>
      <c r="AO72" s="266"/>
      <c r="AP72" s="266"/>
      <c r="AQ72" s="753" t="s">
        <v>933</v>
      </c>
      <c r="AR72" s="748"/>
      <c r="AS72" s="727"/>
      <c r="AT72" s="728" t="s">
        <v>979</v>
      </c>
      <c r="AU72" s="727"/>
      <c r="AV72" s="728" t="s">
        <v>979</v>
      </c>
      <c r="AW72" s="727"/>
      <c r="AX72" s="728" t="s">
        <v>979</v>
      </c>
      <c r="AY72" s="727"/>
      <c r="AZ72" s="728" t="s">
        <v>979</v>
      </c>
      <c r="BA72" s="729"/>
    </row>
    <row r="73" spans="3:53" ht="15" customHeight="1" x14ac:dyDescent="0.25">
      <c r="AB73" s="759" t="s">
        <v>284</v>
      </c>
      <c r="AC73" s="1337" t="s">
        <v>285</v>
      </c>
      <c r="AD73" s="1337"/>
      <c r="AE73" s="1337" t="s">
        <v>286</v>
      </c>
      <c r="AF73" s="1337"/>
      <c r="AG73" s="1337" t="s">
        <v>287</v>
      </c>
      <c r="AH73" s="1337"/>
      <c r="AI73" s="1337" t="s">
        <v>288</v>
      </c>
      <c r="AJ73" s="1337"/>
      <c r="AK73" s="759" t="s">
        <v>289</v>
      </c>
      <c r="AL73" s="759" t="s">
        <v>290</v>
      </c>
      <c r="AM73" s="1338" t="s">
        <v>291</v>
      </c>
      <c r="AN73" s="1338"/>
      <c r="AO73" s="760" t="s">
        <v>292</v>
      </c>
      <c r="AP73" s="266"/>
      <c r="AQ73" s="749" t="str">
        <f ca="1">Voorblad!AA67</f>
        <v>B4</v>
      </c>
      <c r="AR73" s="750"/>
      <c r="AS73" s="730" t="str">
        <f ca="1">IF(AT73=$AR$11,$AQ$11,IF(AT73=$AR$12,$AQ$12,VLOOKUP(AT73,Voorblad!$X$67:$Z$98,2,FALSE)))</f>
        <v>Albanië</v>
      </c>
      <c r="AT73" s="731" t="str">
        <f ca="1">RIGHT(LEFT($AK$102,$BA73),2)</f>
        <v>B4</v>
      </c>
      <c r="AU73" s="730" t="str">
        <f ca="1">IF(AV73=$AR$11,$AQ$11,IF(AV73=$AR$12,$AQ$12,VLOOKUP(AV73,Voorblad!$X$67:$Z$98,2,FALSE)))</f>
        <v>Albanië</v>
      </c>
      <c r="AV73" s="731" t="str">
        <f ca="1">RIGHT(LEFT($AL$102,$BA73),2)</f>
        <v>B4</v>
      </c>
      <c r="AW73" s="730" t="str">
        <f ca="1">IF(AX73=$AR$11,$AQ$11,IF(AX73=$AR$12,$AQ$12,VLOOKUP(AX73,Voorblad!$X$67:$Z$98,2,FALSE)))</f>
        <v>Albanië</v>
      </c>
      <c r="AX73" s="731" t="str">
        <f ca="1">RIGHT(LEFT($AK$103,$BA73),2)</f>
        <v>B4</v>
      </c>
      <c r="AY73" s="730" t="str">
        <f ca="1">IF(AZ73=$AR$11,$AQ$11,IF(AZ73=$AR$12,$AQ$12,VLOOKUP(AZ73,Voorblad!$X$67:$Z$98,2,FALSE)))</f>
        <v>Albanië</v>
      </c>
      <c r="AZ73" s="731" t="str">
        <f ca="1">RIGHT(LEFT($AL$103,$BA73),2)</f>
        <v>B4</v>
      </c>
      <c r="BA73" s="732">
        <v>2</v>
      </c>
    </row>
    <row r="74" spans="3:53" ht="15" customHeight="1" x14ac:dyDescent="0.25">
      <c r="AB74" s="756">
        <f>D14</f>
        <v>38</v>
      </c>
      <c r="AC74" s="1352" t="e">
        <f>#REF!</f>
        <v>#REF!</v>
      </c>
      <c r="AD74" s="1352"/>
      <c r="AE74" s="1352" t="e">
        <f>#REF!</f>
        <v>#REF!</v>
      </c>
      <c r="AF74" s="1352"/>
      <c r="AG74" s="1352" t="str">
        <f>Groepswedstrijden!$Z$73</f>
        <v/>
      </c>
      <c r="AH74" s="1352"/>
      <c r="AI74" s="1352" t="str">
        <f>Groepswedstrijden!$AA$73</f>
        <v/>
      </c>
      <c r="AJ74" s="1352"/>
      <c r="AK74" s="756" t="str">
        <f>'Eindstand Groep'!$Y$5</f>
        <v/>
      </c>
      <c r="AL74" s="756" t="str">
        <f>'Eindstand Groep'!$Z$5</f>
        <v/>
      </c>
      <c r="AM74" s="1353" t="str">
        <f t="shared" ref="AM74:AM81" si="16">IF($AG$71=1,AK74,IF($AG$67=1,AC74,IF($AG$69=1,AG74,"")))</f>
        <v/>
      </c>
      <c r="AN74" s="1353"/>
      <c r="AO74" s="651" t="str">
        <f>IF($AG$71=1,AL74,IF($AG$67=1,AE74,IF($AG$69=1,AI74,"")))</f>
        <v/>
      </c>
      <c r="AP74" s="266"/>
      <c r="AQ74" s="749" t="str">
        <f ca="1">Voorblad!AA68</f>
        <v>E1</v>
      </c>
      <c r="AR74" s="750"/>
      <c r="AS74" s="730" t="str">
        <f ca="1">IF(AT74=$AR$11,$AQ$11,IF(AT74=$AR$12,$AQ$12,VLOOKUP(AT74,Voorblad!$X$67:$Z$98,2,FALSE)))</f>
        <v>België</v>
      </c>
      <c r="AT74" s="731" t="str">
        <f t="shared" ref="AT74:AT105" ca="1" si="17">RIGHT(LEFT($AK$102,$BA74),2)</f>
        <v>E1</v>
      </c>
      <c r="AU74" s="730" t="str">
        <f ca="1">IF(AV74=$AR$11,$AQ$11,IF(AV74=$AR$12,$AQ$12,VLOOKUP(AV74,Voorblad!$X$67:$Z$98,2,FALSE)))</f>
        <v>België</v>
      </c>
      <c r="AV74" s="731" t="str">
        <f t="shared" ref="AV74:AV105" ca="1" si="18">RIGHT(LEFT($AL$102,$BA74),2)</f>
        <v>E1</v>
      </c>
      <c r="AW74" s="730" t="str">
        <f ca="1">IF(AX74=$AR$11,$AQ$11,IF(AX74=$AR$12,$AQ$12,VLOOKUP(AX74,Voorblad!$X$67:$Z$98,2,FALSE)))</f>
        <v>België</v>
      </c>
      <c r="AX74" s="731" t="str">
        <f t="shared" ref="AX74:AX105" ca="1" si="19">RIGHT(LEFT($AK$103,$BA74),2)</f>
        <v>E1</v>
      </c>
      <c r="AY74" s="730" t="str">
        <f ca="1">IF(AZ74=$AR$11,$AQ$11,IF(AZ74=$AR$12,$AQ$12,VLOOKUP(AZ74,Voorblad!$X$67:$Z$98,2,FALSE)))</f>
        <v>België</v>
      </c>
      <c r="AZ74" s="731" t="str">
        <f t="shared" ref="AZ74:AZ105" ca="1" si="20">RIGHT(LEFT($AL$103,$BA74),2)</f>
        <v>E1</v>
      </c>
      <c r="BA74" s="733">
        <f t="shared" ref="BA74:BA105" si="21">BA73+2</f>
        <v>4</v>
      </c>
    </row>
    <row r="75" spans="3:53" x14ac:dyDescent="0.25">
      <c r="AB75" s="757">
        <f>D16</f>
        <v>37</v>
      </c>
      <c r="AC75" s="1354" t="e">
        <f>#REF!</f>
        <v>#REF!</v>
      </c>
      <c r="AD75" s="1354"/>
      <c r="AE75" s="1354" t="e">
        <f>#REF!</f>
        <v>#REF!</v>
      </c>
      <c r="AF75" s="1354"/>
      <c r="AG75" s="1354" t="str">
        <f>Groepswedstrijden!$Z$72</f>
        <v/>
      </c>
      <c r="AH75" s="1354"/>
      <c r="AI75" s="1354" t="str">
        <f>Groepswedstrijden!$AB$73</f>
        <v/>
      </c>
      <c r="AJ75" s="1354"/>
      <c r="AK75" s="757" t="str">
        <f>'Eindstand Groep'!$Y$6</f>
        <v/>
      </c>
      <c r="AL75" s="757" t="str">
        <f>'Eindstand Groep'!$Z$6</f>
        <v/>
      </c>
      <c r="AM75" s="1355" t="str">
        <f t="shared" si="16"/>
        <v/>
      </c>
      <c r="AN75" s="1355"/>
      <c r="AO75" s="758" t="str">
        <f t="shared" ref="AO75:AO81" si="22">IF($AG$71=1,AL75,IF($AG$67=1,AE75,IF($AG$69=1,AI75,"")))</f>
        <v/>
      </c>
      <c r="AP75" s="266"/>
      <c r="AQ75" s="749" t="str">
        <f ca="1">Voorblad!AA69</f>
        <v>C2</v>
      </c>
      <c r="AR75" s="750"/>
      <c r="AS75" s="730" t="str">
        <f ca="1">IF(AT75=$AR$11,$AQ$11,IF(AT75=$AR$12,$AQ$12,VLOOKUP(AT75,Voorblad!$X$67:$Z$98,2,FALSE)))</f>
        <v>Denemarken</v>
      </c>
      <c r="AT75" s="731" t="str">
        <f t="shared" ca="1" si="17"/>
        <v>C2</v>
      </c>
      <c r="AU75" s="730" t="str">
        <f ca="1">IF(AV75=$AR$11,$AQ$11,IF(AV75=$AR$12,$AQ$12,VLOOKUP(AV75,Voorblad!$X$67:$Z$98,2,FALSE)))</f>
        <v>Denemarken</v>
      </c>
      <c r="AV75" s="731" t="str">
        <f t="shared" ca="1" si="18"/>
        <v>C2</v>
      </c>
      <c r="AW75" s="730" t="str">
        <f ca="1">IF(AX75=$AR$11,$AQ$11,IF(AX75=$AR$12,$AQ$12,VLOOKUP(AX75,Voorblad!$X$67:$Z$98,2,FALSE)))</f>
        <v>Denemarken</v>
      </c>
      <c r="AX75" s="731" t="str">
        <f t="shared" ca="1" si="19"/>
        <v>C2</v>
      </c>
      <c r="AY75" s="730" t="str">
        <f ca="1">IF(AZ75=$AR$11,$AQ$11,IF(AZ75=$AR$12,$AQ$12,VLOOKUP(AZ75,Voorblad!$X$67:$Z$98,2,FALSE)))</f>
        <v>Denemarken</v>
      </c>
      <c r="AZ75" s="731" t="str">
        <f t="shared" ca="1" si="20"/>
        <v>C2</v>
      </c>
      <c r="BA75" s="733">
        <f t="shared" si="21"/>
        <v>6</v>
      </c>
    </row>
    <row r="76" spans="3:53" x14ac:dyDescent="0.25">
      <c r="AB76" s="756">
        <f>D18</f>
        <v>40</v>
      </c>
      <c r="AC76" s="1352" t="e">
        <f>#REF!</f>
        <v>#REF!</v>
      </c>
      <c r="AD76" s="1352"/>
      <c r="AE76" s="1352" t="e">
        <f>#REF!&amp;#REF!&amp;#REF!</f>
        <v>#REF!</v>
      </c>
      <c r="AF76" s="1352"/>
      <c r="AG76" s="1352" t="str">
        <f>Groepswedstrijden!$AB$72</f>
        <v/>
      </c>
      <c r="AH76" s="1352"/>
      <c r="AI76" s="1352" t="str">
        <f>Groepswedstrijden!$AC$74&amp;Groepswedstrijden!$AD$74&amp;Groepswedstrijden!$AE$74</f>
        <v/>
      </c>
      <c r="AJ76" s="1352"/>
      <c r="AK76" s="756" t="str">
        <f>'Eindstand Groep'!$Y$7</f>
        <v/>
      </c>
      <c r="AL76" s="756" t="str">
        <f>'Eindstand Groep'!$Z$7</f>
        <v/>
      </c>
      <c r="AM76" s="1353" t="str">
        <f t="shared" si="16"/>
        <v/>
      </c>
      <c r="AN76" s="1353"/>
      <c r="AO76" s="651" t="str">
        <f t="shared" si="22"/>
        <v/>
      </c>
      <c r="AP76" s="266"/>
      <c r="AQ76" s="749" t="str">
        <f ca="1">Voorblad!AA70</f>
        <v>A1</v>
      </c>
      <c r="AR76" s="750"/>
      <c r="AS76" s="730" t="str">
        <f ca="1">IF(AT76=$AR$11,$AQ$11,IF(AT76=$AR$12,$AQ$12,VLOOKUP(AT76,Voorblad!$X$67:$Z$98,2,FALSE)))</f>
        <v>Duitsland</v>
      </c>
      <c r="AT76" s="731" t="str">
        <f t="shared" ca="1" si="17"/>
        <v>A1</v>
      </c>
      <c r="AU76" s="730" t="str">
        <f ca="1">IF(AV76=$AR$11,$AQ$11,IF(AV76=$AR$12,$AQ$12,VLOOKUP(AV76,Voorblad!$X$67:$Z$98,2,FALSE)))</f>
        <v>Duitsland</v>
      </c>
      <c r="AV76" s="731" t="str">
        <f t="shared" ca="1" si="18"/>
        <v>A1</v>
      </c>
      <c r="AW76" s="730" t="str">
        <f ca="1">IF(AX76=$AR$11,$AQ$11,IF(AX76=$AR$12,$AQ$12,VLOOKUP(AX76,Voorblad!$X$67:$Z$98,2,FALSE)))</f>
        <v>Duitsland</v>
      </c>
      <c r="AX76" s="731" t="str">
        <f t="shared" ca="1" si="19"/>
        <v>A1</v>
      </c>
      <c r="AY76" s="730" t="str">
        <f ca="1">IF(AZ76=$AR$11,$AQ$11,IF(AZ76=$AR$12,$AQ$12,VLOOKUP(AZ76,Voorblad!$X$67:$Z$98,2,FALSE)))</f>
        <v>Duitsland</v>
      </c>
      <c r="AZ76" s="731" t="str">
        <f t="shared" ca="1" si="20"/>
        <v>A1</v>
      </c>
      <c r="BA76" s="733">
        <f t="shared" si="21"/>
        <v>8</v>
      </c>
    </row>
    <row r="77" spans="3:53" x14ac:dyDescent="0.25">
      <c r="AB77" s="757">
        <f>D20</f>
        <v>39</v>
      </c>
      <c r="AC77" s="1354" t="e">
        <f>#REF!</f>
        <v>#REF!</v>
      </c>
      <c r="AD77" s="1354"/>
      <c r="AE77" s="1354" t="e">
        <f>#REF!&amp;#REF!&amp;#REF!&amp;#REF!</f>
        <v>#REF!</v>
      </c>
      <c r="AF77" s="1354"/>
      <c r="AG77" s="1354" t="str">
        <f>Groepswedstrijden!$AA$72</f>
        <v/>
      </c>
      <c r="AH77" s="1354"/>
      <c r="AI77" s="1354" t="str">
        <f>Groepswedstrijden!$Z$74&amp;Groepswedstrijden!$AC$74&amp;Groepswedstrijden!$AD$74&amp;Groepswedstrijden!$AE$74</f>
        <v/>
      </c>
      <c r="AJ77" s="1354"/>
      <c r="AK77" s="757" t="str">
        <f>'Eindstand Groep'!$Y$8</f>
        <v/>
      </c>
      <c r="AL77" s="757" t="str">
        <f>'Eindstand Groep'!$Z$8</f>
        <v/>
      </c>
      <c r="AM77" s="1355" t="str">
        <f t="shared" si="16"/>
        <v/>
      </c>
      <c r="AN77" s="1355"/>
      <c r="AO77" s="758" t="str">
        <f t="shared" si="22"/>
        <v/>
      </c>
      <c r="AP77" s="266"/>
      <c r="AQ77" s="749" t="str">
        <f ca="1">Voorblad!AA71</f>
        <v>C4</v>
      </c>
      <c r="AR77" s="750"/>
      <c r="AS77" s="730" t="str">
        <f ca="1">IF(AT77=$AR$11,$AQ$11,IF(AT77=$AR$12,$AQ$12,VLOOKUP(AT77,Voorblad!$X$67:$Z$98,2,FALSE)))</f>
        <v>Engeland</v>
      </c>
      <c r="AT77" s="731" t="str">
        <f t="shared" ca="1" si="17"/>
        <v>C4</v>
      </c>
      <c r="AU77" s="730" t="str">
        <f ca="1">IF(AV77=$AR$11,$AQ$11,IF(AV77=$AR$12,$AQ$12,VLOOKUP(AV77,Voorblad!$X$67:$Z$98,2,FALSE)))</f>
        <v>Engeland</v>
      </c>
      <c r="AV77" s="731" t="str">
        <f t="shared" ca="1" si="18"/>
        <v>C4</v>
      </c>
      <c r="AW77" s="730" t="str">
        <f ca="1">IF(AX77=$AR$11,$AQ$11,IF(AX77=$AR$12,$AQ$12,VLOOKUP(AX77,Voorblad!$X$67:$Z$98,2,FALSE)))</f>
        <v>Engeland</v>
      </c>
      <c r="AX77" s="731" t="str">
        <f t="shared" ca="1" si="19"/>
        <v>C4</v>
      </c>
      <c r="AY77" s="730" t="str">
        <f ca="1">IF(AZ77=$AR$11,$AQ$11,IF(AZ77=$AR$12,$AQ$12,VLOOKUP(AZ77,Voorblad!$X$67:$Z$98,2,FALSE)))</f>
        <v>Engeland</v>
      </c>
      <c r="AZ77" s="731" t="str">
        <f t="shared" ca="1" si="20"/>
        <v>C4</v>
      </c>
      <c r="BA77" s="733">
        <f t="shared" si="21"/>
        <v>10</v>
      </c>
    </row>
    <row r="78" spans="3:53" x14ac:dyDescent="0.25">
      <c r="AB78" s="756">
        <f>D22</f>
        <v>42</v>
      </c>
      <c r="AC78" s="1352" t="e">
        <f>#REF!</f>
        <v>#REF!</v>
      </c>
      <c r="AD78" s="1352"/>
      <c r="AE78" s="1352" t="e">
        <f>#REF!</f>
        <v>#REF!</v>
      </c>
      <c r="AF78" s="1352"/>
      <c r="AG78" s="1352" t="str">
        <f>Groepswedstrijden!$AC$73</f>
        <v/>
      </c>
      <c r="AH78" s="1352"/>
      <c r="AI78" s="1352" t="str">
        <f>Groepswedstrijden!$AD$73</f>
        <v/>
      </c>
      <c r="AJ78" s="1352"/>
      <c r="AK78" s="756" t="str">
        <f>'Eindstand Groep'!$Y$9</f>
        <v/>
      </c>
      <c r="AL78" s="756" t="str">
        <f>'Eindstand Groep'!$Z$9</f>
        <v/>
      </c>
      <c r="AM78" s="1353" t="str">
        <f t="shared" si="16"/>
        <v/>
      </c>
      <c r="AN78" s="1353"/>
      <c r="AO78" s="651" t="str">
        <f t="shared" si="22"/>
        <v/>
      </c>
      <c r="AP78" s="266"/>
      <c r="AQ78" s="749" t="str">
        <f ca="1">Voorblad!AA72</f>
        <v>D4</v>
      </c>
      <c r="AR78" s="750"/>
      <c r="AS78" s="730" t="str">
        <f ca="1">IF(AT78=$AR$11,$AQ$11,IF(AT78=$AR$12,$AQ$12,VLOOKUP(AT78,Voorblad!$X$67:$Z$98,2,FALSE)))</f>
        <v>Frankrijk</v>
      </c>
      <c r="AT78" s="731" t="str">
        <f t="shared" ca="1" si="17"/>
        <v>D4</v>
      </c>
      <c r="AU78" s="730" t="str">
        <f ca="1">IF(AV78=$AR$11,$AQ$11,IF(AV78=$AR$12,$AQ$12,VLOOKUP(AV78,Voorblad!$X$67:$Z$98,2,FALSE)))</f>
        <v>Frankrijk</v>
      </c>
      <c r="AV78" s="731" t="str">
        <f t="shared" ca="1" si="18"/>
        <v>D4</v>
      </c>
      <c r="AW78" s="730" t="str">
        <f ca="1">IF(AX78=$AR$11,$AQ$11,IF(AX78=$AR$12,$AQ$12,VLOOKUP(AX78,Voorblad!$X$67:$Z$98,2,FALSE)))</f>
        <v>Frankrijk</v>
      </c>
      <c r="AX78" s="731" t="str">
        <f t="shared" ca="1" si="19"/>
        <v>D4</v>
      </c>
      <c r="AY78" s="730" t="str">
        <f ca="1">IF(AZ78=$AR$11,$AQ$11,IF(AZ78=$AR$12,$AQ$12,VLOOKUP(AZ78,Voorblad!$X$67:$Z$98,2,FALSE)))</f>
        <v>Frankrijk</v>
      </c>
      <c r="AZ78" s="731" t="str">
        <f t="shared" ca="1" si="20"/>
        <v>D4</v>
      </c>
      <c r="BA78" s="733">
        <f t="shared" si="21"/>
        <v>12</v>
      </c>
    </row>
    <row r="79" spans="3:53" x14ac:dyDescent="0.25">
      <c r="AB79" s="757">
        <f>D24</f>
        <v>41</v>
      </c>
      <c r="AC79" s="1354" t="e">
        <f>#REF!</f>
        <v>#REF!</v>
      </c>
      <c r="AD79" s="1354"/>
      <c r="AE79" s="1354" t="e">
        <f>#REF!&amp;#REF!&amp;#REF!</f>
        <v>#REF!</v>
      </c>
      <c r="AF79" s="1354"/>
      <c r="AG79" s="1354" t="str">
        <f>Groepswedstrijden!$AE$72</f>
        <v/>
      </c>
      <c r="AH79" s="1354"/>
      <c r="AI79" s="1354" t="str">
        <f>Groepswedstrijden!$Z$74&amp;Groepswedstrijden!$AA$74&amp;Groepswedstrijden!$AB$74</f>
        <v/>
      </c>
      <c r="AJ79" s="1354"/>
      <c r="AK79" s="757" t="str">
        <f>'Eindstand Groep'!$Y$10</f>
        <v/>
      </c>
      <c r="AL79" s="757" t="str">
        <f>'Eindstand Groep'!$Z$10</f>
        <v/>
      </c>
      <c r="AM79" s="1355" t="str">
        <f t="shared" si="16"/>
        <v/>
      </c>
      <c r="AN79" s="1355"/>
      <c r="AO79" s="758" t="str">
        <f t="shared" si="22"/>
        <v/>
      </c>
      <c r="AP79" s="266"/>
      <c r="AQ79" s="749" t="str">
        <f ca="1">Voorblad!AA73</f>
        <v>F2</v>
      </c>
      <c r="AR79" s="750"/>
      <c r="AS79" s="730" t="str">
        <f ca="1">IF(AT79=$AR$11,$AQ$11,IF(AT79=$AR$12,$AQ$12,VLOOKUP(AT79,Voorblad!$X$67:$Z$98,2,FALSE)))</f>
        <v>Georgië</v>
      </c>
      <c r="AT79" s="731" t="str">
        <f t="shared" ca="1" si="17"/>
        <v>F2</v>
      </c>
      <c r="AU79" s="730" t="str">
        <f ca="1">IF(AV79=$AR$11,$AQ$11,IF(AV79=$AR$12,$AQ$12,VLOOKUP(AV79,Voorblad!$X$67:$Z$98,2,FALSE)))</f>
        <v>Georgië</v>
      </c>
      <c r="AV79" s="731" t="str">
        <f t="shared" ca="1" si="18"/>
        <v>F2</v>
      </c>
      <c r="AW79" s="730" t="str">
        <f ca="1">IF(AX79=$AR$11,$AQ$11,IF(AX79=$AR$12,$AQ$12,VLOOKUP(AX79,Voorblad!$X$67:$Z$98,2,FALSE)))</f>
        <v>Georgië</v>
      </c>
      <c r="AX79" s="731" t="str">
        <f t="shared" ca="1" si="19"/>
        <v>F2</v>
      </c>
      <c r="AY79" s="730" t="str">
        <f ca="1">IF(AZ79=$AR$11,$AQ$11,IF(AZ79=$AR$12,$AQ$12,VLOOKUP(AZ79,Voorblad!$X$67:$Z$98,2,FALSE)))</f>
        <v>Georgië</v>
      </c>
      <c r="AZ79" s="731" t="str">
        <f t="shared" ca="1" si="20"/>
        <v>F2</v>
      </c>
      <c r="BA79" s="733">
        <f t="shared" si="21"/>
        <v>14</v>
      </c>
    </row>
    <row r="80" spans="3:53" x14ac:dyDescent="0.25">
      <c r="AB80" s="756">
        <f>D26</f>
        <v>43</v>
      </c>
      <c r="AC80" s="1352" t="e">
        <f>#REF!</f>
        <v>#REF!</v>
      </c>
      <c r="AD80" s="1352"/>
      <c r="AE80" s="1352" t="e">
        <f>#REF!&amp;#REF!&amp;#REF!&amp;#REF!</f>
        <v>#REF!</v>
      </c>
      <c r="AF80" s="1352"/>
      <c r="AG80" s="1352" t="str">
        <f>Groepswedstrijden!$AD$72</f>
        <v/>
      </c>
      <c r="AH80" s="1352"/>
      <c r="AI80" s="1352" t="str">
        <f>Groepswedstrijden!$Z$74&amp;Groepswedstrijden!$AA$74&amp;Groepswedstrijden!$AB$74&amp;Groepswedstrijden!$AC$74</f>
        <v/>
      </c>
      <c r="AJ80" s="1352"/>
      <c r="AK80" s="756" t="str">
        <f>'Eindstand Groep'!$Y$11</f>
        <v/>
      </c>
      <c r="AL80" s="756" t="str">
        <f>'Eindstand Groep'!$Z$11</f>
        <v/>
      </c>
      <c r="AM80" s="1353" t="str">
        <f t="shared" si="16"/>
        <v/>
      </c>
      <c r="AN80" s="1353"/>
      <c r="AO80" s="651" t="str">
        <f t="shared" si="22"/>
        <v/>
      </c>
      <c r="AP80" s="266"/>
      <c r="AQ80" s="749" t="str">
        <f ca="1">Voorblad!AA74</f>
        <v>A3</v>
      </c>
      <c r="AR80" s="750"/>
      <c r="AS80" s="730" t="str">
        <f ca="1">IF(AT80=$AR$11,$AQ$11,IF(AT80=$AR$12,$AQ$12,VLOOKUP(AT80,Voorblad!$X$67:$Z$98,2,FALSE)))</f>
        <v>Hongarije</v>
      </c>
      <c r="AT80" s="731" t="str">
        <f t="shared" ca="1" si="17"/>
        <v>A3</v>
      </c>
      <c r="AU80" s="730" t="str">
        <f ca="1">IF(AV80=$AR$11,$AQ$11,IF(AV80=$AR$12,$AQ$12,VLOOKUP(AV80,Voorblad!$X$67:$Z$98,2,FALSE)))</f>
        <v>Hongarije</v>
      </c>
      <c r="AV80" s="731" t="str">
        <f t="shared" ca="1" si="18"/>
        <v>A3</v>
      </c>
      <c r="AW80" s="730" t="str">
        <f ca="1">IF(AX80=$AR$11,$AQ$11,IF(AX80=$AR$12,$AQ$12,VLOOKUP(AX80,Voorblad!$X$67:$Z$98,2,FALSE)))</f>
        <v>Hongarije</v>
      </c>
      <c r="AX80" s="731" t="str">
        <f t="shared" ca="1" si="19"/>
        <v>A3</v>
      </c>
      <c r="AY80" s="730" t="str">
        <f ca="1">IF(AZ80=$AR$11,$AQ$11,IF(AZ80=$AR$12,$AQ$12,VLOOKUP(AZ80,Voorblad!$X$67:$Z$98,2,FALSE)))</f>
        <v>Hongarije</v>
      </c>
      <c r="AZ80" s="731" t="str">
        <f t="shared" ca="1" si="20"/>
        <v>A3</v>
      </c>
      <c r="BA80" s="733">
        <f t="shared" si="21"/>
        <v>16</v>
      </c>
    </row>
    <row r="81" spans="28:53" x14ac:dyDescent="0.25">
      <c r="AB81" s="757">
        <f>D28</f>
        <v>44</v>
      </c>
      <c r="AC81" s="1354" t="e">
        <f>#REF!</f>
        <v>#REF!</v>
      </c>
      <c r="AD81" s="1354"/>
      <c r="AE81" s="1354" t="e">
        <f>#REF!</f>
        <v>#REF!</v>
      </c>
      <c r="AF81" s="1354"/>
      <c r="AG81" s="1354" t="str">
        <f>Groepswedstrijden!$AC$72</f>
        <v/>
      </c>
      <c r="AH81" s="1354"/>
      <c r="AI81" s="1354" t="str">
        <f>Groepswedstrijden!$AE$73</f>
        <v/>
      </c>
      <c r="AJ81" s="1354"/>
      <c r="AK81" s="757" t="str">
        <f>'Eindstand Groep'!$Y$12</f>
        <v/>
      </c>
      <c r="AL81" s="757" t="str">
        <f>'Eindstand Groep'!$Z$12</f>
        <v/>
      </c>
      <c r="AM81" s="1355" t="str">
        <f t="shared" si="16"/>
        <v/>
      </c>
      <c r="AN81" s="1355"/>
      <c r="AO81" s="758" t="str">
        <f t="shared" si="22"/>
        <v/>
      </c>
      <c r="AP81" s="266"/>
      <c r="AQ81" s="749" t="str">
        <f ca="1">Voorblad!AA75</f>
        <v>B3</v>
      </c>
      <c r="AR81" s="750"/>
      <c r="AS81" s="730" t="str">
        <f ca="1">IF(AT81=$AR$11,$AQ$11,IF(AT81=$AR$12,$AQ$12,VLOOKUP(AT81,Voorblad!$X$67:$Z$98,2,FALSE)))</f>
        <v>Italië</v>
      </c>
      <c r="AT81" s="731" t="str">
        <f t="shared" ca="1" si="17"/>
        <v>B3</v>
      </c>
      <c r="AU81" s="730" t="str">
        <f ca="1">IF(AV81=$AR$11,$AQ$11,IF(AV81=$AR$12,$AQ$12,VLOOKUP(AV81,Voorblad!$X$67:$Z$98,2,FALSE)))</f>
        <v>Italië</v>
      </c>
      <c r="AV81" s="731" t="str">
        <f t="shared" ca="1" si="18"/>
        <v>B3</v>
      </c>
      <c r="AW81" s="730" t="str">
        <f ca="1">IF(AX81=$AR$11,$AQ$11,IF(AX81=$AR$12,$AQ$12,VLOOKUP(AX81,Voorblad!$X$67:$Z$98,2,FALSE)))</f>
        <v>Italië</v>
      </c>
      <c r="AX81" s="731" t="str">
        <f t="shared" ca="1" si="19"/>
        <v>B3</v>
      </c>
      <c r="AY81" s="730" t="str">
        <f ca="1">IF(AZ81=$AR$11,$AQ$11,IF(AZ81=$AR$12,$AQ$12,VLOOKUP(AZ81,Voorblad!$X$67:$Z$98,2,FALSE)))</f>
        <v>Italië</v>
      </c>
      <c r="AZ81" s="731" t="str">
        <f t="shared" ca="1" si="20"/>
        <v>B3</v>
      </c>
      <c r="BA81" s="733">
        <f t="shared" si="21"/>
        <v>18</v>
      </c>
    </row>
    <row r="82" spans="28:53" x14ac:dyDescent="0.25">
      <c r="AB82" s="266"/>
      <c r="AC82" s="266"/>
      <c r="AD82" s="266"/>
      <c r="AE82" s="266"/>
      <c r="AF82" s="266"/>
      <c r="AG82" s="266"/>
      <c r="AH82" s="266"/>
      <c r="AI82" s="266"/>
      <c r="AJ82" s="266"/>
      <c r="AK82" s="266"/>
      <c r="AL82" s="266"/>
      <c r="AM82" s="266"/>
      <c r="AN82" s="266"/>
      <c r="AO82" s="266"/>
      <c r="AP82" s="266"/>
      <c r="AQ82" s="749" t="str">
        <f ca="1">Voorblad!AA76</f>
        <v>B2</v>
      </c>
      <c r="AR82" s="750"/>
      <c r="AS82" s="730" t="str">
        <f ca="1">IF(AT82=$AR$11,$AQ$11,IF(AT82=$AR$12,$AQ$12,VLOOKUP(AT82,Voorblad!$X$67:$Z$98,2,FALSE)))</f>
        <v>Kroatië</v>
      </c>
      <c r="AT82" s="731" t="str">
        <f t="shared" ca="1" si="17"/>
        <v>B2</v>
      </c>
      <c r="AU82" s="730" t="str">
        <f ca="1">IF(AV82=$AR$11,$AQ$11,IF(AV82=$AR$12,$AQ$12,VLOOKUP(AV82,Voorblad!$X$67:$Z$98,2,FALSE)))</f>
        <v>Kroatië</v>
      </c>
      <c r="AV82" s="731" t="str">
        <f t="shared" ca="1" si="18"/>
        <v>B2</v>
      </c>
      <c r="AW82" s="730" t="str">
        <f ca="1">IF(AX82=$AR$11,$AQ$11,IF(AX82=$AR$12,$AQ$12,VLOOKUP(AX82,Voorblad!$X$67:$Z$98,2,FALSE)))</f>
        <v>Kroatië</v>
      </c>
      <c r="AX82" s="731" t="str">
        <f t="shared" ca="1" si="19"/>
        <v>B2</v>
      </c>
      <c r="AY82" s="730" t="str">
        <f ca="1">IF(AZ82=$AR$11,$AQ$11,IF(AZ82=$AR$12,$AQ$12,VLOOKUP(AZ82,Voorblad!$X$67:$Z$98,2,FALSE)))</f>
        <v>Kroatië</v>
      </c>
      <c r="AZ82" s="731" t="str">
        <f t="shared" ca="1" si="20"/>
        <v>B2</v>
      </c>
      <c r="BA82" s="733">
        <f t="shared" si="21"/>
        <v>20</v>
      </c>
    </row>
    <row r="83" spans="28:53" ht="15" customHeight="1" x14ac:dyDescent="0.25">
      <c r="AB83" s="838" t="s">
        <v>980</v>
      </c>
      <c r="AC83" s="839"/>
      <c r="AD83" s="839"/>
      <c r="AE83" s="839"/>
      <c r="AF83" s="839"/>
      <c r="AG83" s="839"/>
      <c r="AH83" s="839"/>
      <c r="AI83" s="839"/>
      <c r="AJ83" s="840"/>
      <c r="AK83" s="839"/>
      <c r="AL83" s="839"/>
      <c r="AM83" s="839"/>
      <c r="AN83" s="839"/>
      <c r="AO83" s="841" t="str">
        <f ca="1">Taal02!B48</f>
        <v>B4E1C2A1C4D4F2A3B3B2D2E4D3D1F3E3A2C3C1E2B1F4F1A4G1G2G3G4H1H2H3H4</v>
      </c>
      <c r="AP83" s="817"/>
      <c r="AQ83" s="749" t="str">
        <f ca="1">Voorblad!AA77</f>
        <v>D2</v>
      </c>
      <c r="AR83" s="750"/>
      <c r="AS83" s="730" t="str">
        <f ca="1">IF(AT83=$AR$11,$AQ$11,IF(AT83=$AR$12,$AQ$12,VLOOKUP(AT83,Voorblad!$X$67:$Z$98,2,FALSE)))</f>
        <v>Nederland</v>
      </c>
      <c r="AT83" s="731" t="str">
        <f t="shared" ca="1" si="17"/>
        <v>D2</v>
      </c>
      <c r="AU83" s="730" t="str">
        <f ca="1">IF(AV83=$AR$11,$AQ$11,IF(AV83=$AR$12,$AQ$12,VLOOKUP(AV83,Voorblad!$X$67:$Z$98,2,FALSE)))</f>
        <v>Nederland</v>
      </c>
      <c r="AV83" s="731" t="str">
        <f t="shared" ca="1" si="18"/>
        <v>D2</v>
      </c>
      <c r="AW83" s="730" t="str">
        <f ca="1">IF(AX83=$AR$11,$AQ$11,IF(AX83=$AR$12,$AQ$12,VLOOKUP(AX83,Voorblad!$X$67:$Z$98,2,FALSE)))</f>
        <v>Nederland</v>
      </c>
      <c r="AX83" s="731" t="str">
        <f t="shared" ca="1" si="19"/>
        <v>D2</v>
      </c>
      <c r="AY83" s="730" t="str">
        <f ca="1">IF(AZ83=$AR$11,$AQ$11,IF(AZ83=$AR$12,$AQ$12,VLOOKUP(AZ83,Voorblad!$X$67:$Z$98,2,FALSE)))</f>
        <v>Nederland</v>
      </c>
      <c r="AZ83" s="731" t="str">
        <f t="shared" ca="1" si="20"/>
        <v>D2</v>
      </c>
      <c r="BA83" s="733">
        <f t="shared" si="21"/>
        <v>22</v>
      </c>
    </row>
    <row r="84" spans="28:53" ht="15.75" customHeight="1" x14ac:dyDescent="0.25">
      <c r="AB84" s="266"/>
      <c r="AC84" s="266"/>
      <c r="AD84" s="266"/>
      <c r="AE84" s="266"/>
      <c r="AF84" s="266"/>
      <c r="AG84" s="268"/>
      <c r="AH84" s="266"/>
      <c r="AI84" s="266"/>
      <c r="AJ84" s="266"/>
      <c r="AK84" s="266"/>
      <c r="AL84" s="266"/>
      <c r="AM84" s="266"/>
      <c r="AN84" s="266"/>
      <c r="AO84" s="266"/>
      <c r="AP84" s="266"/>
      <c r="AQ84" s="749" t="str">
        <f ca="1">Voorblad!AA78</f>
        <v>E4</v>
      </c>
      <c r="AR84" s="750"/>
      <c r="AS84" s="730" t="str">
        <f ca="1">IF(AT84=$AR$11,$AQ$11,IF(AT84=$AR$12,$AQ$12,VLOOKUP(AT84,Voorblad!$X$67:$Z$98,2,FALSE)))</f>
        <v>Oekraïne</v>
      </c>
      <c r="AT84" s="731" t="str">
        <f t="shared" ca="1" si="17"/>
        <v>E4</v>
      </c>
      <c r="AU84" s="730" t="str">
        <f ca="1">IF(AV84=$AR$11,$AQ$11,IF(AV84=$AR$12,$AQ$12,VLOOKUP(AV84,Voorblad!$X$67:$Z$98,2,FALSE)))</f>
        <v>Oekraïne</v>
      </c>
      <c r="AV84" s="731" t="str">
        <f t="shared" ca="1" si="18"/>
        <v>E4</v>
      </c>
      <c r="AW84" s="730" t="str">
        <f ca="1">IF(AX84=$AR$11,$AQ$11,IF(AX84=$AR$12,$AQ$12,VLOOKUP(AX84,Voorblad!$X$67:$Z$98,2,FALSE)))</f>
        <v>Oekraïne</v>
      </c>
      <c r="AX84" s="731" t="str">
        <f t="shared" ca="1" si="19"/>
        <v>E4</v>
      </c>
      <c r="AY84" s="730" t="str">
        <f ca="1">IF(AZ84=$AR$11,$AQ$11,IF(AZ84=$AR$12,$AQ$12,VLOOKUP(AZ84,Voorblad!$X$67:$Z$98,2,FALSE)))</f>
        <v>Oekraïne</v>
      </c>
      <c r="AZ84" s="731" t="str">
        <f t="shared" ca="1" si="20"/>
        <v>E4</v>
      </c>
      <c r="BA84" s="733">
        <f t="shared" si="21"/>
        <v>24</v>
      </c>
    </row>
    <row r="85" spans="28:53" x14ac:dyDescent="0.25">
      <c r="AB85" s="759" t="s">
        <v>284</v>
      </c>
      <c r="AC85" s="1357" t="str">
        <f t="shared" ref="AC85" si="23">AM73</f>
        <v>suggestie - thuis</v>
      </c>
      <c r="AD85" s="1357"/>
      <c r="AE85" s="1357" t="str">
        <f t="shared" ref="AE85:AE93" si="24">AO73</f>
        <v>suggestie - uit</v>
      </c>
      <c r="AF85" s="1357"/>
      <c r="AG85" s="1357" t="s">
        <v>983</v>
      </c>
      <c r="AH85" s="1357"/>
      <c r="AI85" s="1357" t="s">
        <v>984</v>
      </c>
      <c r="AJ85" s="1357"/>
      <c r="AK85" s="759" t="s">
        <v>985</v>
      </c>
      <c r="AL85" s="759" t="s">
        <v>986</v>
      </c>
      <c r="AM85" s="1338" t="s">
        <v>982</v>
      </c>
      <c r="AN85" s="1338"/>
      <c r="AO85" s="760" t="s">
        <v>981</v>
      </c>
      <c r="AP85" s="266"/>
      <c r="AQ85" s="749" t="str">
        <f ca="1">Voorblad!AA79</f>
        <v>D3</v>
      </c>
      <c r="AR85" s="750"/>
      <c r="AS85" s="730" t="str">
        <f ca="1">IF(AT85=$AR$11,$AQ$11,IF(AT85=$AR$12,$AQ$12,VLOOKUP(AT85,Voorblad!$X$67:$Z$98,2,FALSE)))</f>
        <v>Oostenrijk</v>
      </c>
      <c r="AT85" s="731" t="str">
        <f t="shared" ca="1" si="17"/>
        <v>D3</v>
      </c>
      <c r="AU85" s="730" t="str">
        <f ca="1">IF(AV85=$AR$11,$AQ$11,IF(AV85=$AR$12,$AQ$12,VLOOKUP(AV85,Voorblad!$X$67:$Z$98,2,FALSE)))</f>
        <v>Oostenrijk</v>
      </c>
      <c r="AV85" s="731" t="str">
        <f t="shared" ca="1" si="18"/>
        <v>D3</v>
      </c>
      <c r="AW85" s="730" t="str">
        <f ca="1">IF(AX85=$AR$11,$AQ$11,IF(AX85=$AR$12,$AQ$12,VLOOKUP(AX85,Voorblad!$X$67:$Z$98,2,FALSE)))</f>
        <v>Oostenrijk</v>
      </c>
      <c r="AX85" s="731" t="str">
        <f t="shared" ca="1" si="19"/>
        <v>D3</v>
      </c>
      <c r="AY85" s="730" t="str">
        <f ca="1">IF(AZ85=$AR$11,$AQ$11,IF(AZ85=$AR$12,$AQ$12,VLOOKUP(AZ85,Voorblad!$X$67:$Z$98,2,FALSE)))</f>
        <v>Oostenrijk</v>
      </c>
      <c r="AZ85" s="731" t="str">
        <f t="shared" ca="1" si="20"/>
        <v>D3</v>
      </c>
      <c r="BA85" s="733">
        <f t="shared" si="21"/>
        <v>26</v>
      </c>
    </row>
    <row r="86" spans="28:53" x14ac:dyDescent="0.25">
      <c r="AB86" s="756">
        <f t="shared" ref="AB86:AB93" si="25">AB74</f>
        <v>38</v>
      </c>
      <c r="AC86" s="1352" t="str">
        <f>AM74</f>
        <v/>
      </c>
      <c r="AD86" s="1352"/>
      <c r="AE86" s="1352" t="str">
        <f t="shared" si="24"/>
        <v/>
      </c>
      <c r="AF86" s="1352"/>
      <c r="AG86" s="1352" t="str">
        <f t="shared" ref="AG86:AG93" ca="1" si="2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
      </c>
      <c r="AH86" s="1352"/>
      <c r="AI86" s="1352" t="str">
        <f t="shared" ref="AI86:AI93" ca="1" si="27">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
      </c>
      <c r="AJ86" s="1352"/>
      <c r="AK86" s="767" t="s">
        <v>987</v>
      </c>
      <c r="AL86" s="767" t="s">
        <v>987</v>
      </c>
      <c r="AM86" s="1352" t="str">
        <f ca="1">IF(AG86="","",IF(LEN(AG86)&gt;=2,VLOOKUP(LEFT(AG86,2),Voorblad!$X$67:$Y$98,2)&amp;IF(LEN(AG86)&gt;=4," / "&amp;VLOOKUP(RIGHT(LEFT(AG86,4),2),Voorblad!$X$67:$Y$98,2)&amp;IF(LEN(AG86)&gt;=6," / "&amp;VLOOKUP(RIGHT(LEFT(AG86,6),2),Voorblad!$X$67:$Y$98,2)&amp;IF(LEN(AG86)&gt;=8," / "&amp;VLOOKUP(RIGHT(LEFT(AG86,8),2),Voorblad!$X$67:$Y$98,2),""),""),""),""))</f>
        <v/>
      </c>
      <c r="AN86" s="1352"/>
      <c r="AO86" s="767" t="str">
        <f ca="1">IF(AI86="","",IF(LEN(AI86)&gt;=2,VLOOKUP(LEFT(AI86,2),Voorblad!$X$67:$Y$98,2)&amp;IF(LEN(AI86)&gt;=4," / "&amp;VLOOKUP(RIGHT(LEFT(AI86,4),2),Voorblad!$X$67:$Y$98,2)&amp;IF(LEN(AI86)&gt;=6," / "&amp;VLOOKUP(RIGHT(LEFT(AI86,6),2),Voorblad!$X$67:$Y$98,2)&amp;IF(LEN(AI86)&gt;=8," / "&amp;VLOOKUP(RIGHT(LEFT(AI86,8),2),Voorblad!$X$67:$Y$98,2),""),""),""),""))</f>
        <v/>
      </c>
      <c r="AP86" s="266" t="s">
        <v>330</v>
      </c>
      <c r="AQ86" s="749" t="str">
        <f ca="1">Voorblad!AA80</f>
        <v>D1</v>
      </c>
      <c r="AR86" s="750"/>
      <c r="AS86" s="730" t="str">
        <f ca="1">IF(AT86=$AR$11,$AQ$11,IF(AT86=$AR$12,$AQ$12,VLOOKUP(AT86,Voorblad!$X$67:$Z$98,2,FALSE)))</f>
        <v>Polen</v>
      </c>
      <c r="AT86" s="731" t="str">
        <f t="shared" ca="1" si="17"/>
        <v>D1</v>
      </c>
      <c r="AU86" s="730" t="str">
        <f ca="1">IF(AV86=$AR$11,$AQ$11,IF(AV86=$AR$12,$AQ$12,VLOOKUP(AV86,Voorblad!$X$67:$Z$98,2,FALSE)))</f>
        <v>Polen</v>
      </c>
      <c r="AV86" s="731" t="str">
        <f t="shared" ca="1" si="18"/>
        <v>D1</v>
      </c>
      <c r="AW86" s="730" t="str">
        <f ca="1">IF(AX86=$AR$11,$AQ$11,IF(AX86=$AR$12,$AQ$12,VLOOKUP(AX86,Voorblad!$X$67:$Z$98,2,FALSE)))</f>
        <v>Polen</v>
      </c>
      <c r="AX86" s="731" t="str">
        <f t="shared" ca="1" si="19"/>
        <v>D1</v>
      </c>
      <c r="AY86" s="730" t="str">
        <f ca="1">IF(AZ86=$AR$11,$AQ$11,IF(AZ86=$AR$12,$AQ$12,VLOOKUP(AZ86,Voorblad!$X$67:$Z$98,2,FALSE)))</f>
        <v>Polen</v>
      </c>
      <c r="AZ86" s="731" t="str">
        <f t="shared" ca="1" si="20"/>
        <v>D1</v>
      </c>
      <c r="BA86" s="733">
        <f t="shared" si="21"/>
        <v>28</v>
      </c>
    </row>
    <row r="87" spans="28:53" x14ac:dyDescent="0.25">
      <c r="AB87" s="757">
        <f t="shared" si="25"/>
        <v>37</v>
      </c>
      <c r="AC87" s="1354" t="str">
        <f t="shared" ref="AC87:AC93" si="28">AM75</f>
        <v/>
      </c>
      <c r="AD87" s="1354"/>
      <c r="AE87" s="1354" t="str">
        <f t="shared" si="24"/>
        <v/>
      </c>
      <c r="AF87" s="1354"/>
      <c r="AG87" s="1354" t="str">
        <f t="shared" ca="1" si="26"/>
        <v/>
      </c>
      <c r="AH87" s="1354"/>
      <c r="AI87" s="1354" t="str">
        <f t="shared" ca="1" si="27"/>
        <v/>
      </c>
      <c r="AJ87" s="1354"/>
      <c r="AK87" s="768" t="s">
        <v>987</v>
      </c>
      <c r="AL87" s="768" t="s">
        <v>987</v>
      </c>
      <c r="AM87" s="1354" t="str">
        <f ca="1">IF(AG87="","",IF(LEN(AG87)&gt;=2,VLOOKUP(LEFT(AG87,2),Voorblad!$X$67:$Y$98,2)&amp;IF(LEN(AG87)&gt;=4," / "&amp;VLOOKUP(RIGHT(LEFT(AG87,4),2),Voorblad!$X$67:$Y$98,2)&amp;IF(LEN(AG87)&gt;=6," / "&amp;VLOOKUP(RIGHT(LEFT(AG87,6),2),Voorblad!$X$67:$Y$98,2)&amp;IF(LEN(AG87)&gt;=8," / "&amp;VLOOKUP(RIGHT(LEFT(AG87,8),2),Voorblad!$X$67:$Y$98,2),""),""),""),""))</f>
        <v/>
      </c>
      <c r="AN87" s="1354"/>
      <c r="AO87" s="768" t="str">
        <f ca="1">IF(AI87="","",IF(LEN(AI87)&gt;=2,VLOOKUP(LEFT(AI87,2),Voorblad!$X$67:$Y$98,2)&amp;IF(LEN(AI87)&gt;=4," / "&amp;VLOOKUP(RIGHT(LEFT(AI87,4),2),Voorblad!$X$67:$Y$98,2)&amp;IF(LEN(AI87)&gt;=6," / "&amp;VLOOKUP(RIGHT(LEFT(AI87,6),2),Voorblad!$X$67:$Y$98,2)&amp;IF(LEN(AI87)&gt;=8," / "&amp;VLOOKUP(RIGHT(LEFT(AI87,8),2),Voorblad!$X$67:$Y$98,2),""),""),""),""))</f>
        <v/>
      </c>
      <c r="AP87" s="266" t="s">
        <v>330</v>
      </c>
      <c r="AQ87" s="749" t="str">
        <f ca="1">Voorblad!AA81</f>
        <v>F3</v>
      </c>
      <c r="AR87" s="750"/>
      <c r="AS87" s="730" t="str">
        <f ca="1">IF(AT87=$AR$11,$AQ$11,IF(AT87=$AR$12,$AQ$12,VLOOKUP(AT87,Voorblad!$X$67:$Z$98,2,FALSE)))</f>
        <v>Portugal</v>
      </c>
      <c r="AT87" s="731" t="str">
        <f t="shared" ca="1" si="17"/>
        <v>F3</v>
      </c>
      <c r="AU87" s="730" t="str">
        <f ca="1">IF(AV87=$AR$11,$AQ$11,IF(AV87=$AR$12,$AQ$12,VLOOKUP(AV87,Voorblad!$X$67:$Z$98,2,FALSE)))</f>
        <v>Portugal</v>
      </c>
      <c r="AV87" s="731" t="str">
        <f t="shared" ca="1" si="18"/>
        <v>F3</v>
      </c>
      <c r="AW87" s="730" t="str">
        <f ca="1">IF(AX87=$AR$11,$AQ$11,IF(AX87=$AR$12,$AQ$12,VLOOKUP(AX87,Voorblad!$X$67:$Z$98,2,FALSE)))</f>
        <v>Portugal</v>
      </c>
      <c r="AX87" s="731" t="str">
        <f t="shared" ca="1" si="19"/>
        <v>F3</v>
      </c>
      <c r="AY87" s="730" t="str">
        <f ca="1">IF(AZ87=$AR$11,$AQ$11,IF(AZ87=$AR$12,$AQ$12,VLOOKUP(AZ87,Voorblad!$X$67:$Z$98,2,FALSE)))</f>
        <v>Portugal</v>
      </c>
      <c r="AZ87" s="731" t="str">
        <f t="shared" ca="1" si="20"/>
        <v>F3</v>
      </c>
      <c r="BA87" s="733">
        <f t="shared" si="21"/>
        <v>30</v>
      </c>
    </row>
    <row r="88" spans="28:53" x14ac:dyDescent="0.25">
      <c r="AB88" s="756">
        <f t="shared" si="25"/>
        <v>40</v>
      </c>
      <c r="AC88" s="1352" t="str">
        <f t="shared" si="28"/>
        <v/>
      </c>
      <c r="AD88" s="1352"/>
      <c r="AE88" s="1352" t="str">
        <f t="shared" si="24"/>
        <v/>
      </c>
      <c r="AF88" s="1352"/>
      <c r="AG88" s="1352" t="str">
        <f t="shared" ca="1" si="26"/>
        <v/>
      </c>
      <c r="AH88" s="1352"/>
      <c r="AI88" s="1352" t="str">
        <f t="shared" ca="1" si="27"/>
        <v/>
      </c>
      <c r="AJ88" s="1352"/>
      <c r="AK88" s="767" t="s">
        <v>987</v>
      </c>
      <c r="AL88" s="1095"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E1D4F2D2E4D3D1F3E3E2F4F1????????????????????????????????????????????????????????????????</v>
      </c>
      <c r="AM88" s="1352" t="str">
        <f ca="1">IF(AG88="","",IF(LEN(AG88)&gt;=2,VLOOKUP(LEFT(AG88,2),Voorblad!$X$67:$Y$98,2)&amp;IF(LEN(AG88)&gt;=4," / "&amp;VLOOKUP(RIGHT(LEFT(AG88,4),2),Voorblad!$X$67:$Y$98,2)&amp;IF(LEN(AG88)&gt;=6," / "&amp;VLOOKUP(RIGHT(LEFT(AG88,6),2),Voorblad!$X$67:$Y$98,2)&amp;IF(LEN(AG88)&gt;=8," / "&amp;VLOOKUP(RIGHT(LEFT(AG88,8),2),Voorblad!$X$67:$Y$98,2),""),""),""),""))</f>
        <v/>
      </c>
      <c r="AN88" s="1352"/>
      <c r="AO88" s="1095"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
      </c>
      <c r="AP88" s="266" t="s">
        <v>330</v>
      </c>
      <c r="AQ88" s="749" t="str">
        <f ca="1">Voorblad!AA82</f>
        <v>E3</v>
      </c>
      <c r="AR88" s="750"/>
      <c r="AS88" s="730" t="str">
        <f ca="1">IF(AT88=$AR$11,$AQ$11,IF(AT88=$AR$12,$AQ$12,VLOOKUP(AT88,Voorblad!$X$67:$Z$98,2,FALSE)))</f>
        <v>Roemenië</v>
      </c>
      <c r="AT88" s="731" t="str">
        <f t="shared" ca="1" si="17"/>
        <v>E3</v>
      </c>
      <c r="AU88" s="730" t="str">
        <f ca="1">IF(AV88=$AR$11,$AQ$11,IF(AV88=$AR$12,$AQ$12,VLOOKUP(AV88,Voorblad!$X$67:$Z$98,2,FALSE)))</f>
        <v>Roemenië</v>
      </c>
      <c r="AV88" s="731" t="str">
        <f t="shared" ca="1" si="18"/>
        <v>E3</v>
      </c>
      <c r="AW88" s="730" t="str">
        <f ca="1">IF(AX88=$AR$11,$AQ$11,IF(AX88=$AR$12,$AQ$12,VLOOKUP(AX88,Voorblad!$X$67:$Z$98,2,FALSE)))</f>
        <v>Roemenië</v>
      </c>
      <c r="AX88" s="731" t="str">
        <f t="shared" ca="1" si="19"/>
        <v>E3</v>
      </c>
      <c r="AY88" s="730" t="str">
        <f ca="1">IF(AZ88=$AR$11,$AQ$11,IF(AZ88=$AR$12,$AQ$12,VLOOKUP(AZ88,Voorblad!$X$67:$Z$98,2,FALSE)))</f>
        <v>Roemenië</v>
      </c>
      <c r="AZ88" s="731" t="str">
        <f t="shared" ca="1" si="20"/>
        <v>E3</v>
      </c>
      <c r="BA88" s="733">
        <f t="shared" si="21"/>
        <v>32</v>
      </c>
    </row>
    <row r="89" spans="28:53" x14ac:dyDescent="0.25">
      <c r="AB89" s="757">
        <f t="shared" si="25"/>
        <v>39</v>
      </c>
      <c r="AC89" s="1354" t="str">
        <f t="shared" si="28"/>
        <v/>
      </c>
      <c r="AD89" s="1354"/>
      <c r="AE89" s="1354" t="str">
        <f t="shared" si="24"/>
        <v/>
      </c>
      <c r="AF89" s="1354"/>
      <c r="AG89" s="1354" t="str">
        <f t="shared" ca="1" si="26"/>
        <v/>
      </c>
      <c r="AH89" s="1354"/>
      <c r="AI89" s="1354" t="str">
        <f t="shared" ca="1" si="27"/>
        <v/>
      </c>
      <c r="AJ89" s="1354"/>
      <c r="AK89" s="768" t="s">
        <v>987</v>
      </c>
      <c r="AL89" s="1096"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E1A1D4F2A3D2E4D3D1F3E3A2E2F4F1A4????????????????????????????????????????????????????????????????</v>
      </c>
      <c r="AM89" s="1354" t="str">
        <f ca="1">IF(AG89="","",IF(LEN(AG89)&gt;=2,VLOOKUP(LEFT(AG89,2),Voorblad!$X$67:$Y$98,2)&amp;IF(LEN(AG89)&gt;=4," / "&amp;VLOOKUP(RIGHT(LEFT(AG89,4),2),Voorblad!$X$67:$Y$98,2)&amp;IF(LEN(AG89)&gt;=6," / "&amp;VLOOKUP(RIGHT(LEFT(AG89,6),2),Voorblad!$X$67:$Y$98,2)&amp;IF(LEN(AG89)&gt;=8," / "&amp;VLOOKUP(RIGHT(LEFT(AG89,8),2),Voorblad!$X$67:$Y$98,2),""),""),""),""))</f>
        <v/>
      </c>
      <c r="AN89" s="1354"/>
      <c r="AO89" s="1096"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
      </c>
      <c r="AP89" s="266" t="s">
        <v>330</v>
      </c>
      <c r="AQ89" s="749" t="str">
        <f ca="1">Voorblad!AA83</f>
        <v>A2</v>
      </c>
      <c r="AR89" s="750"/>
      <c r="AS89" s="730" t="str">
        <f ca="1">IF(AT89=$AR$11,$AQ$11,IF(AT89=$AR$12,$AQ$12,VLOOKUP(AT89,Voorblad!$X$67:$Z$98,2,FALSE)))</f>
        <v>Schotland</v>
      </c>
      <c r="AT89" s="731" t="str">
        <f t="shared" ca="1" si="17"/>
        <v>A2</v>
      </c>
      <c r="AU89" s="730" t="str">
        <f ca="1">IF(AV89=$AR$11,$AQ$11,IF(AV89=$AR$12,$AQ$12,VLOOKUP(AV89,Voorblad!$X$67:$Z$98,2,FALSE)))</f>
        <v>Schotland</v>
      </c>
      <c r="AV89" s="731" t="str">
        <f t="shared" ca="1" si="18"/>
        <v>A2</v>
      </c>
      <c r="AW89" s="730" t="str">
        <f ca="1">IF(AX89=$AR$11,$AQ$11,IF(AX89=$AR$12,$AQ$12,VLOOKUP(AX89,Voorblad!$X$67:$Z$98,2,FALSE)))</f>
        <v>Schotland</v>
      </c>
      <c r="AX89" s="731" t="str">
        <f t="shared" ca="1" si="19"/>
        <v>A2</v>
      </c>
      <c r="AY89" s="730" t="str">
        <f ca="1">IF(AZ89=$AR$11,$AQ$11,IF(AZ89=$AR$12,$AQ$12,VLOOKUP(AZ89,Voorblad!$X$67:$Z$98,2,FALSE)))</f>
        <v>Schotland</v>
      </c>
      <c r="AZ89" s="731" t="str">
        <f t="shared" ca="1" si="20"/>
        <v>A2</v>
      </c>
      <c r="BA89" s="733">
        <f t="shared" si="21"/>
        <v>34</v>
      </c>
    </row>
    <row r="90" spans="28:53" x14ac:dyDescent="0.25">
      <c r="AB90" s="756">
        <f t="shared" si="25"/>
        <v>42</v>
      </c>
      <c r="AC90" s="1352" t="str">
        <f t="shared" si="28"/>
        <v/>
      </c>
      <c r="AD90" s="1352"/>
      <c r="AE90" s="1352" t="str">
        <f t="shared" si="24"/>
        <v/>
      </c>
      <c r="AF90" s="1352"/>
      <c r="AG90" s="1352" t="str">
        <f t="shared" ca="1" si="26"/>
        <v/>
      </c>
      <c r="AH90" s="1352"/>
      <c r="AI90" s="1352" t="str">
        <f t="shared" ca="1" si="27"/>
        <v/>
      </c>
      <c r="AJ90" s="1352"/>
      <c r="AK90" s="767" t="s">
        <v>987</v>
      </c>
      <c r="AL90" s="767" t="s">
        <v>987</v>
      </c>
      <c r="AM90" s="1352" t="str">
        <f ca="1">IF(AG90="","",IF(LEN(AG90)&gt;=2,VLOOKUP(LEFT(AG90,2),Voorblad!$X$67:$Y$98,2)&amp;IF(LEN(AG90)&gt;=4," / "&amp;VLOOKUP(RIGHT(LEFT(AG90,4),2),Voorblad!$X$67:$Y$98,2)&amp;IF(LEN(AG90)&gt;=6," / "&amp;VLOOKUP(RIGHT(LEFT(AG90,6),2),Voorblad!$X$67:$Y$98,2)&amp;IF(LEN(AG90)&gt;=8," / "&amp;VLOOKUP(RIGHT(LEFT(AG90,8),2),Voorblad!$X$67:$Y$98,2),""),""),""),""))</f>
        <v/>
      </c>
      <c r="AN90" s="1352"/>
      <c r="AO90" s="767" t="str">
        <f ca="1">IF(AI90="","",IF(LEN(AI90)&gt;=2,VLOOKUP(LEFT(AI90,2),Voorblad!$X$67:$Y$98,2)&amp;IF(LEN(AI90)&gt;=4," / "&amp;VLOOKUP(RIGHT(LEFT(AI90,4),2),Voorblad!$X$67:$Y$98,2)&amp;IF(LEN(AI90)&gt;=6," / "&amp;VLOOKUP(RIGHT(LEFT(AI90,6),2),Voorblad!$X$67:$Y$98,2)&amp;IF(LEN(AI90)&gt;=8," / "&amp;VLOOKUP(RIGHT(LEFT(AI90,8),2),Voorblad!$X$67:$Y$98,2),""),""),""),""))</f>
        <v/>
      </c>
      <c r="AP90" s="266" t="s">
        <v>330</v>
      </c>
      <c r="AQ90" s="749" t="str">
        <f ca="1">Voorblad!AA84</f>
        <v>C3</v>
      </c>
      <c r="AR90" s="750"/>
      <c r="AS90" s="730" t="str">
        <f ca="1">IF(AT90=$AR$11,$AQ$11,IF(AT90=$AR$12,$AQ$12,VLOOKUP(AT90,Voorblad!$X$67:$Z$98,2,FALSE)))</f>
        <v>Servië</v>
      </c>
      <c r="AT90" s="731" t="str">
        <f t="shared" ca="1" si="17"/>
        <v>C3</v>
      </c>
      <c r="AU90" s="730" t="str">
        <f ca="1">IF(AV90=$AR$11,$AQ$11,IF(AV90=$AR$12,$AQ$12,VLOOKUP(AV90,Voorblad!$X$67:$Z$98,2,FALSE)))</f>
        <v>Servië</v>
      </c>
      <c r="AV90" s="731" t="str">
        <f t="shared" ca="1" si="18"/>
        <v>C3</v>
      </c>
      <c r="AW90" s="730" t="str">
        <f ca="1">IF(AX90=$AR$11,$AQ$11,IF(AX90=$AR$12,$AQ$12,VLOOKUP(AX90,Voorblad!$X$67:$Z$98,2,FALSE)))</f>
        <v>Servië</v>
      </c>
      <c r="AX90" s="731" t="str">
        <f t="shared" ca="1" si="19"/>
        <v>C3</v>
      </c>
      <c r="AY90" s="730" t="str">
        <f ca="1">IF(AZ90=$AR$11,$AQ$11,IF(AZ90=$AR$12,$AQ$12,VLOOKUP(AZ90,Voorblad!$X$67:$Z$98,2,FALSE)))</f>
        <v>Servië</v>
      </c>
      <c r="AZ90" s="731" t="str">
        <f t="shared" ca="1" si="20"/>
        <v>C3</v>
      </c>
      <c r="BA90" s="733">
        <f t="shared" si="21"/>
        <v>36</v>
      </c>
    </row>
    <row r="91" spans="28:53" x14ac:dyDescent="0.25">
      <c r="AB91" s="757">
        <f t="shared" si="25"/>
        <v>41</v>
      </c>
      <c r="AC91" s="1354" t="str">
        <f t="shared" si="28"/>
        <v/>
      </c>
      <c r="AD91" s="1354"/>
      <c r="AE91" s="1354" t="str">
        <f t="shared" si="24"/>
        <v/>
      </c>
      <c r="AF91" s="1354"/>
      <c r="AG91" s="1354" t="str">
        <f t="shared" ca="1" si="26"/>
        <v/>
      </c>
      <c r="AH91" s="1354"/>
      <c r="AI91" s="1354" t="str">
        <f t="shared" ca="1" si="27"/>
        <v/>
      </c>
      <c r="AJ91" s="1354"/>
      <c r="AK91" s="768" t="s">
        <v>987</v>
      </c>
      <c r="AL91" s="1096"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B4C2A1C4A3B3B2A2C3C1B1A4????????????????????????????????????????????????????????????????</v>
      </c>
      <c r="AM91" s="1354" t="str">
        <f ca="1">IF(AG91="","",IF(LEN(AG91)&gt;=2,VLOOKUP(LEFT(AG91,2),Voorblad!$X$67:$Y$98,2)&amp;IF(LEN(AG91)&gt;=4," / "&amp;VLOOKUP(RIGHT(LEFT(AG91,4),2),Voorblad!$X$67:$Y$98,2)&amp;IF(LEN(AG91)&gt;=6," / "&amp;VLOOKUP(RIGHT(LEFT(AG91,6),2),Voorblad!$X$67:$Y$98,2)&amp;IF(LEN(AG91)&gt;=8," / "&amp;VLOOKUP(RIGHT(LEFT(AG91,8),2),Voorblad!$X$67:$Y$98,2),""),""),""),""))</f>
        <v/>
      </c>
      <c r="AN91" s="1354"/>
      <c r="AO91" s="1096"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
      </c>
      <c r="AP91" s="266" t="s">
        <v>330</v>
      </c>
      <c r="AQ91" s="749" t="str">
        <f ca="1">Voorblad!AA85</f>
        <v>C1</v>
      </c>
      <c r="AR91" s="750"/>
      <c r="AS91" s="730" t="str">
        <f ca="1">IF(AT91=$AR$11,$AQ$11,IF(AT91=$AR$12,$AQ$12,VLOOKUP(AT91,Voorblad!$X$67:$Z$98,2,FALSE)))</f>
        <v>Slovenië</v>
      </c>
      <c r="AT91" s="731" t="str">
        <f t="shared" ca="1" si="17"/>
        <v>C1</v>
      </c>
      <c r="AU91" s="730" t="str">
        <f ca="1">IF(AV91=$AR$11,$AQ$11,IF(AV91=$AR$12,$AQ$12,VLOOKUP(AV91,Voorblad!$X$67:$Z$98,2,FALSE)))</f>
        <v>Slovenië</v>
      </c>
      <c r="AV91" s="731" t="str">
        <f t="shared" ca="1" si="18"/>
        <v>C1</v>
      </c>
      <c r="AW91" s="730" t="str">
        <f ca="1">IF(AX91=$AR$11,$AQ$11,IF(AX91=$AR$12,$AQ$12,VLOOKUP(AX91,Voorblad!$X$67:$Z$98,2,FALSE)))</f>
        <v>Slovenië</v>
      </c>
      <c r="AX91" s="731" t="str">
        <f t="shared" ca="1" si="19"/>
        <v>C1</v>
      </c>
      <c r="AY91" s="730" t="str">
        <f ca="1">IF(AZ91=$AR$11,$AQ$11,IF(AZ91=$AR$12,$AQ$12,VLOOKUP(AZ91,Voorblad!$X$67:$Z$98,2,FALSE)))</f>
        <v>Slovenië</v>
      </c>
      <c r="AZ91" s="731" t="str">
        <f t="shared" ca="1" si="20"/>
        <v>C1</v>
      </c>
      <c r="BA91" s="733">
        <f t="shared" si="21"/>
        <v>38</v>
      </c>
    </row>
    <row r="92" spans="28:53" x14ac:dyDescent="0.25">
      <c r="AB92" s="756">
        <f t="shared" si="25"/>
        <v>43</v>
      </c>
      <c r="AC92" s="1352" t="str">
        <f t="shared" si="28"/>
        <v/>
      </c>
      <c r="AD92" s="1352"/>
      <c r="AE92" s="1352" t="str">
        <f t="shared" si="24"/>
        <v/>
      </c>
      <c r="AF92" s="1352"/>
      <c r="AG92" s="1352" t="str">
        <f t="shared" ca="1" si="26"/>
        <v/>
      </c>
      <c r="AH92" s="1352"/>
      <c r="AI92" s="1352" t="str">
        <f t="shared" ca="1" si="27"/>
        <v/>
      </c>
      <c r="AJ92" s="1352"/>
      <c r="AK92" s="767" t="s">
        <v>987</v>
      </c>
      <c r="AL92" s="1095"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B4C2A1C4D4A3B3B2D2D3D1A2C3C1B1A4????????????????????????????????????????????????????????????????</v>
      </c>
      <c r="AM92" s="1352" t="str">
        <f ca="1">IF(AG92="","",IF(LEN(AG92)&gt;=2,VLOOKUP(LEFT(AG92,2),Voorblad!$X$67:$Y$98,2)&amp;IF(LEN(AG92)&gt;=4," / "&amp;VLOOKUP(RIGHT(LEFT(AG92,4),2),Voorblad!$X$67:$Y$98,2)&amp;IF(LEN(AG92)&gt;=6," / "&amp;VLOOKUP(RIGHT(LEFT(AG92,6),2),Voorblad!$X$67:$Y$98,2)&amp;IF(LEN(AG92)&gt;=8," / "&amp;VLOOKUP(RIGHT(LEFT(AG92,8),2),Voorblad!$X$67:$Y$98,2),""),""),""),""))</f>
        <v/>
      </c>
      <c r="AN92" s="1352"/>
      <c r="AO92" s="1095"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
      </c>
      <c r="AP92" s="266" t="s">
        <v>330</v>
      </c>
      <c r="AQ92" s="749" t="str">
        <f ca="1">Voorblad!AA86</f>
        <v>E2</v>
      </c>
      <c r="AR92" s="750"/>
      <c r="AS92" s="730" t="str">
        <f ca="1">IF(AT92=$AR$11,$AQ$11,IF(AT92=$AR$12,$AQ$12,VLOOKUP(AT92,Voorblad!$X$67:$Z$98,2,FALSE)))</f>
        <v>Slowakije</v>
      </c>
      <c r="AT92" s="731" t="str">
        <f t="shared" ca="1" si="17"/>
        <v>E2</v>
      </c>
      <c r="AU92" s="730" t="str">
        <f ca="1">IF(AV92=$AR$11,$AQ$11,IF(AV92=$AR$12,$AQ$12,VLOOKUP(AV92,Voorblad!$X$67:$Z$98,2,FALSE)))</f>
        <v>Slowakije</v>
      </c>
      <c r="AV92" s="731" t="str">
        <f t="shared" ca="1" si="18"/>
        <v>E2</v>
      </c>
      <c r="AW92" s="730" t="str">
        <f ca="1">IF(AX92=$AR$11,$AQ$11,IF(AX92=$AR$12,$AQ$12,VLOOKUP(AX92,Voorblad!$X$67:$Z$98,2,FALSE)))</f>
        <v>Slowakije</v>
      </c>
      <c r="AX92" s="731" t="str">
        <f t="shared" ca="1" si="19"/>
        <v>E2</v>
      </c>
      <c r="AY92" s="730" t="str">
        <f ca="1">IF(AZ92=$AR$11,$AQ$11,IF(AZ92=$AR$12,$AQ$12,VLOOKUP(AZ92,Voorblad!$X$67:$Z$98,2,FALSE)))</f>
        <v>Slowakije</v>
      </c>
      <c r="AZ92" s="731" t="str">
        <f t="shared" ca="1" si="20"/>
        <v>E2</v>
      </c>
      <c r="BA92" s="733">
        <f t="shared" si="21"/>
        <v>40</v>
      </c>
    </row>
    <row r="93" spans="28:53" x14ac:dyDescent="0.25">
      <c r="AB93" s="757">
        <f t="shared" si="25"/>
        <v>44</v>
      </c>
      <c r="AC93" s="1354" t="str">
        <f t="shared" si="28"/>
        <v/>
      </c>
      <c r="AD93" s="1354"/>
      <c r="AE93" s="1354" t="str">
        <f t="shared" si="24"/>
        <v/>
      </c>
      <c r="AF93" s="1354"/>
      <c r="AG93" s="1354" t="str">
        <f t="shared" ca="1" si="26"/>
        <v/>
      </c>
      <c r="AH93" s="1354"/>
      <c r="AI93" s="1354" t="str">
        <f t="shared" ca="1" si="27"/>
        <v/>
      </c>
      <c r="AJ93" s="1354"/>
      <c r="AK93" s="768" t="s">
        <v>987</v>
      </c>
      <c r="AL93" s="768" t="s">
        <v>987</v>
      </c>
      <c r="AM93" s="1354" t="str">
        <f ca="1">IF(AG93="","",IF(LEN(AG93)&gt;=2,VLOOKUP(LEFT(AG93,2),Voorblad!$X$67:$Y$98,2)&amp;IF(LEN(AG93)&gt;=4," / "&amp;VLOOKUP(RIGHT(LEFT(AG93,4),2),Voorblad!$X$67:$Y$98,2)&amp;IF(LEN(AG93)&gt;=6," / "&amp;VLOOKUP(RIGHT(LEFT(AG93,6),2),Voorblad!$X$67:$Y$98,2)&amp;IF(LEN(AG93)&gt;=8," / "&amp;VLOOKUP(RIGHT(LEFT(AG93,8),2),Voorblad!$X$67:$Y$98,2),""),""),""),""))</f>
        <v/>
      </c>
      <c r="AN93" s="1354"/>
      <c r="AO93" s="768" t="str">
        <f ca="1">IF(AI93="","",IF(LEN(AI93)&gt;=2,VLOOKUP(LEFT(AI93,2),Voorblad!$X$67:$Y$98,2)&amp;IF(LEN(AI93)&gt;=4," / "&amp;VLOOKUP(RIGHT(LEFT(AI93,4),2),Voorblad!$X$67:$Y$98,2)&amp;IF(LEN(AI93)&gt;=6," / "&amp;VLOOKUP(RIGHT(LEFT(AI93,6),2),Voorblad!$X$67:$Y$98,2)&amp;IF(LEN(AI93)&gt;=8," / "&amp;VLOOKUP(RIGHT(LEFT(AI93,8),2),Voorblad!$X$67:$Y$98,2),""),""),""),""))</f>
        <v/>
      </c>
      <c r="AP93" s="266" t="s">
        <v>330</v>
      </c>
      <c r="AQ93" s="749" t="str">
        <f ca="1">Voorblad!AA87</f>
        <v>B1</v>
      </c>
      <c r="AR93" s="750"/>
      <c r="AS93" s="730" t="str">
        <f ca="1">IF(AT93=$AR$11,$AQ$11,IF(AT93=$AR$12,$AQ$12,VLOOKUP(AT93,Voorblad!$X$67:$Z$98,2,FALSE)))</f>
        <v>Spanje</v>
      </c>
      <c r="AT93" s="731" t="str">
        <f t="shared" ca="1" si="17"/>
        <v>B1</v>
      </c>
      <c r="AU93" s="730" t="str">
        <f ca="1">IF(AV93=$AR$11,$AQ$11,IF(AV93=$AR$12,$AQ$12,VLOOKUP(AV93,Voorblad!$X$67:$Z$98,2,FALSE)))</f>
        <v>Spanje</v>
      </c>
      <c r="AV93" s="731" t="str">
        <f t="shared" ca="1" si="18"/>
        <v>B1</v>
      </c>
      <c r="AW93" s="730" t="str">
        <f ca="1">IF(AX93=$AR$11,$AQ$11,IF(AX93=$AR$12,$AQ$12,VLOOKUP(AX93,Voorblad!$X$67:$Z$98,2,FALSE)))</f>
        <v>Spanje</v>
      </c>
      <c r="AX93" s="731" t="str">
        <f t="shared" ca="1" si="19"/>
        <v>B1</v>
      </c>
      <c r="AY93" s="730" t="str">
        <f ca="1">IF(AZ93=$AR$11,$AQ$11,IF(AZ93=$AR$12,$AQ$12,VLOOKUP(AZ93,Voorblad!$X$67:$Z$98,2,FALSE)))</f>
        <v>Spanje</v>
      </c>
      <c r="AZ93" s="731" t="str">
        <f t="shared" ca="1" si="20"/>
        <v>B1</v>
      </c>
      <c r="BA93" s="733">
        <f t="shared" si="21"/>
        <v>42</v>
      </c>
    </row>
    <row r="94" spans="28:53" x14ac:dyDescent="0.25">
      <c r="AB94" s="268"/>
      <c r="AC94" s="941"/>
      <c r="AD94" s="941"/>
      <c r="AE94" s="941"/>
      <c r="AF94" s="941"/>
      <c r="AG94" s="941"/>
      <c r="AH94" s="941"/>
      <c r="AI94" s="941"/>
      <c r="AJ94" s="941"/>
      <c r="AK94" s="941"/>
      <c r="AL94" s="941"/>
      <c r="AM94" s="268"/>
      <c r="AN94" s="268"/>
      <c r="AO94" s="268"/>
      <c r="AP94" s="266"/>
      <c r="AQ94" s="749" t="str">
        <f ca="1">Voorblad!AA88</f>
        <v>F4</v>
      </c>
      <c r="AR94" s="750"/>
      <c r="AS94" s="730" t="str">
        <f ca="1">IF(AT94=$AR$11,$AQ$11,IF(AT94=$AR$12,$AQ$12,VLOOKUP(AT94,Voorblad!$X$67:$Z$98,2,FALSE)))</f>
        <v>Tsjechië</v>
      </c>
      <c r="AT94" s="731" t="str">
        <f t="shared" ca="1" si="17"/>
        <v>F4</v>
      </c>
      <c r="AU94" s="730" t="str">
        <f ca="1">IF(AV94=$AR$11,$AQ$11,IF(AV94=$AR$12,$AQ$12,VLOOKUP(AV94,Voorblad!$X$67:$Z$98,2,FALSE)))</f>
        <v>Tsjechië</v>
      </c>
      <c r="AV94" s="731" t="str">
        <f t="shared" ca="1" si="18"/>
        <v>F4</v>
      </c>
      <c r="AW94" s="730" t="str">
        <f ca="1">IF(AX94=$AR$11,$AQ$11,IF(AX94=$AR$12,$AQ$12,VLOOKUP(AX94,Voorblad!$X$67:$Z$98,2,FALSE)))</f>
        <v>Tsjechië</v>
      </c>
      <c r="AX94" s="731" t="str">
        <f t="shared" ca="1" si="19"/>
        <v>F4</v>
      </c>
      <c r="AY94" s="730" t="str">
        <f ca="1">IF(AZ94=$AR$11,$AQ$11,IF(AZ94=$AR$12,$AQ$12,VLOOKUP(AZ94,Voorblad!$X$67:$Z$98,2,FALSE)))</f>
        <v>Tsjechië</v>
      </c>
      <c r="AZ94" s="731" t="str">
        <f t="shared" ca="1" si="20"/>
        <v>F4</v>
      </c>
      <c r="BA94" s="733">
        <f t="shared" si="21"/>
        <v>44</v>
      </c>
    </row>
    <row r="95" spans="28:53" x14ac:dyDescent="0.25">
      <c r="AB95" s="759" t="str">
        <f>$AB$85</f>
        <v>nr.</v>
      </c>
      <c r="AC95" s="1337" t="str">
        <f>$AC$85</f>
        <v>suggestie - thuis</v>
      </c>
      <c r="AD95" s="1337"/>
      <c r="AE95" s="1337" t="str">
        <f>$AE$85</f>
        <v>suggestie - uit</v>
      </c>
      <c r="AF95" s="1337"/>
      <c r="AG95" s="1337" t="str">
        <f>$AG$85</f>
        <v>thuis code</v>
      </c>
      <c r="AH95" s="1337"/>
      <c r="AI95" s="1337" t="str">
        <f>$AG$85</f>
        <v>thuis code</v>
      </c>
      <c r="AJ95" s="1337"/>
      <c r="AK95" s="826" t="str">
        <f>$AK$85</f>
        <v>thuis menu</v>
      </c>
      <c r="AL95" s="826" t="str">
        <f>$AL$85</f>
        <v>uit menu</v>
      </c>
      <c r="AM95" s="1338" t="str">
        <f>$AM$85</f>
        <v>thuis (landen)</v>
      </c>
      <c r="AN95" s="1338"/>
      <c r="AO95" s="760" t="str">
        <f>$AO$85</f>
        <v>uit (landen)</v>
      </c>
      <c r="AP95" s="266"/>
      <c r="AQ95" s="749" t="str">
        <f ca="1">Voorblad!AA89</f>
        <v>F1</v>
      </c>
      <c r="AR95" s="750"/>
      <c r="AS95" s="730" t="str">
        <f ca="1">IF(AT95=$AR$11,$AQ$11,IF(AT95=$AR$12,$AQ$12,VLOOKUP(AT95,Voorblad!$X$67:$Z$98,2,FALSE)))</f>
        <v>Turkije</v>
      </c>
      <c r="AT95" s="731" t="str">
        <f t="shared" ca="1" si="17"/>
        <v>F1</v>
      </c>
      <c r="AU95" s="730" t="str">
        <f ca="1">IF(AV95=$AR$11,$AQ$11,IF(AV95=$AR$12,$AQ$12,VLOOKUP(AV95,Voorblad!$X$67:$Z$98,2,FALSE)))</f>
        <v>Turkije</v>
      </c>
      <c r="AV95" s="731" t="str">
        <f t="shared" ca="1" si="18"/>
        <v>F1</v>
      </c>
      <c r="AW95" s="730" t="str">
        <f ca="1">IF(AX95=$AR$11,$AQ$11,IF(AX95=$AR$12,$AQ$12,VLOOKUP(AX95,Voorblad!$X$67:$Z$98,2,FALSE)))</f>
        <v>Turkije</v>
      </c>
      <c r="AX95" s="731" t="str">
        <f t="shared" ca="1" si="19"/>
        <v>F1</v>
      </c>
      <c r="AY95" s="730" t="str">
        <f ca="1">IF(AZ95=$AR$11,$AQ$11,IF(AZ95=$AR$12,$AQ$12,VLOOKUP(AZ95,Voorblad!$X$67:$Z$98,2,FALSE)))</f>
        <v>Turkije</v>
      </c>
      <c r="AZ95" s="731" t="str">
        <f t="shared" ca="1" si="20"/>
        <v>F1</v>
      </c>
      <c r="BA95" s="733">
        <f t="shared" si="21"/>
        <v>46</v>
      </c>
    </row>
    <row r="96" spans="28:53" x14ac:dyDescent="0.25">
      <c r="AB96" s="756">
        <f>D36</f>
        <v>45</v>
      </c>
      <c r="AC96" s="1352" t="str">
        <f>AG21</f>
        <v/>
      </c>
      <c r="AD96" s="1352"/>
      <c r="AE96" s="1352" t="str">
        <f>AG17</f>
        <v/>
      </c>
      <c r="AF96" s="1352"/>
      <c r="AG96" s="135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
      </c>
      <c r="AH96" s="1352"/>
      <c r="AI96" s="135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
      </c>
      <c r="AJ96" s="1352"/>
      <c r="AK96" s="767"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B4E1A1D4F2A3B3B2D2E4D3D1F3E3A2E2B1F4F1A4????????????????????????????????????????????????????????????????</v>
      </c>
      <c r="AL96" s="767"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C2A1C4A3A2C3C1A4????????????????????????????????????????????????????????????????</v>
      </c>
      <c r="AM96" s="1358" t="str">
        <f ca="1">IF(AG96="","",IF(LEN(AG96)&gt;=2,VLOOKUP(LEFT(AG96,2),Voorblad!$X$67:$Y$98,2)&amp;IF(LEN(AG96)&gt;=4," / "&amp;VLOOKUP(RIGHT(LEFT(AG96,4),2),Voorblad!$X$67:$Y$98,2),""),""))</f>
        <v/>
      </c>
      <c r="AN96" s="1358"/>
      <c r="AO96" s="756" t="str">
        <f ca="1">IF(AI96="","",IF(LEN(AI96)&gt;=2,VLOOKUP(LEFT(AI96,2),Voorblad!$X$67:$Y$98,2)&amp;IF(LEN(AI96)&gt;=4," / "&amp;VLOOKUP(RIGHT(LEFT(AI96,4),2),Voorblad!$X$67:$Y$98,2),""),""))</f>
        <v/>
      </c>
      <c r="AP96" s="266"/>
      <c r="AQ96" s="749" t="str">
        <f ca="1">Voorblad!AA90</f>
        <v>A4</v>
      </c>
      <c r="AR96" s="750"/>
      <c r="AS96" s="730" t="str">
        <f ca="1">IF(AT96=$AR$11,$AQ$11,IF(AT96=$AR$12,$AQ$12,VLOOKUP(AT96,Voorblad!$X$67:$Z$98,2,FALSE)))</f>
        <v>Zwitserland</v>
      </c>
      <c r="AT96" s="731" t="str">
        <f t="shared" ca="1" si="17"/>
        <v>A4</v>
      </c>
      <c r="AU96" s="730" t="str">
        <f ca="1">IF(AV96=$AR$11,$AQ$11,IF(AV96=$AR$12,$AQ$12,VLOOKUP(AV96,Voorblad!$X$67:$Z$98,2,FALSE)))</f>
        <v>Zwitserland</v>
      </c>
      <c r="AV96" s="731" t="str">
        <f t="shared" ca="1" si="18"/>
        <v>A4</v>
      </c>
      <c r="AW96" s="730" t="str">
        <f ca="1">IF(AX96=$AR$11,$AQ$11,IF(AX96=$AR$12,$AQ$12,VLOOKUP(AX96,Voorblad!$X$67:$Z$98,2,FALSE)))</f>
        <v>Zwitserland</v>
      </c>
      <c r="AX96" s="731" t="str">
        <f t="shared" ca="1" si="19"/>
        <v>A4</v>
      </c>
      <c r="AY96" s="730" t="str">
        <f ca="1">IF(AZ96=$AR$11,$AQ$11,IF(AZ96=$AR$12,$AQ$12,VLOOKUP(AZ96,Voorblad!$X$67:$Z$98,2,FALSE)))</f>
        <v>Zwitserland</v>
      </c>
      <c r="AZ96" s="731" t="str">
        <f t="shared" ca="1" si="20"/>
        <v>A4</v>
      </c>
      <c r="BA96" s="733">
        <f t="shared" si="21"/>
        <v>48</v>
      </c>
    </row>
    <row r="97" spans="28:53" x14ac:dyDescent="0.25">
      <c r="AB97" s="757">
        <f>D38</f>
        <v>46</v>
      </c>
      <c r="AC97" s="1354" t="str">
        <f>AG25</f>
        <v/>
      </c>
      <c r="AD97" s="1354"/>
      <c r="AE97" s="1354" t="str">
        <f>AG23</f>
        <v/>
      </c>
      <c r="AF97" s="1354"/>
      <c r="AG97" s="135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
      </c>
      <c r="AH97" s="1354"/>
      <c r="AI97" s="135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
      </c>
      <c r="AJ97" s="1354"/>
      <c r="AK97" s="768"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B4C2A1C4F2A3B3B2F3A2C3C1B1F4F1A4????????????????????????????????????????????????????????????????</v>
      </c>
      <c r="AL97" s="768"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E1D4D2E4D3D1E3E2????????????????????????????????????????????????????????????????</v>
      </c>
      <c r="AM97" s="1359" t="str">
        <f ca="1">IF(AG97="","",IF(LEN(AG97)&gt;=2,VLOOKUP(LEFT(AG97,2),Voorblad!$X$67:$Y$98,2)&amp;IF(LEN(AG97)&gt;=4," / "&amp;VLOOKUP(RIGHT(LEFT(AG97,4),2),Voorblad!$X$67:$Y$98,2),""),""))</f>
        <v/>
      </c>
      <c r="AN97" s="1359"/>
      <c r="AO97" s="757" t="str">
        <f ca="1">IF(AI97="","",IF(LEN(AI97)&gt;=2,VLOOKUP(LEFT(AI97,2),Voorblad!$X$67:$Y$98,2)&amp;IF(LEN(AI97)&gt;=4," / "&amp;VLOOKUP(RIGHT(LEFT(AI97,4),2),Voorblad!$X$67:$Y$98,2),""),""))</f>
        <v/>
      </c>
      <c r="AP97" s="266"/>
      <c r="AQ97" s="749" t="str">
        <f ca="1">Voorblad!AA91</f>
        <v>G1</v>
      </c>
      <c r="AR97" s="750"/>
      <c r="AS97" s="730" t="str">
        <f ca="1">IF(AT97=$AR$11,$AQ$11,IF(AT97=$AR$12,$AQ$12,VLOOKUP(AT97,Voorblad!$X$67:$Z$98,2,FALSE)))</f>
        <v/>
      </c>
      <c r="AT97" s="731" t="str">
        <f t="shared" ca="1" si="17"/>
        <v>??</v>
      </c>
      <c r="AU97" s="730" t="str">
        <f ca="1">IF(AV97=$AR$11,$AQ$11,IF(AV97=$AR$12,$AQ$12,VLOOKUP(AV97,Voorblad!$X$67:$Z$98,2,FALSE)))</f>
        <v/>
      </c>
      <c r="AV97" s="731" t="str">
        <f t="shared" ca="1" si="18"/>
        <v>??</v>
      </c>
      <c r="AW97" s="730" t="str">
        <f ca="1">IF(AX97=$AR$11,$AQ$11,IF(AX97=$AR$12,$AQ$12,VLOOKUP(AX97,Voorblad!$X$67:$Z$98,2,FALSE)))</f>
        <v/>
      </c>
      <c r="AX97" s="731" t="str">
        <f t="shared" ca="1" si="19"/>
        <v>??</v>
      </c>
      <c r="AY97" s="730" t="str">
        <f ca="1">IF(AZ97=$AR$11,$AQ$11,IF(AZ97=$AR$12,$AQ$12,VLOOKUP(AZ97,Voorblad!$X$67:$Z$98,2,FALSE)))</f>
        <v/>
      </c>
      <c r="AZ97" s="731" t="str">
        <f t="shared" ca="1" si="20"/>
        <v>??</v>
      </c>
      <c r="BA97" s="733">
        <f t="shared" si="21"/>
        <v>50</v>
      </c>
    </row>
    <row r="98" spans="28:53" x14ac:dyDescent="0.25">
      <c r="AB98" s="756">
        <f>D40</f>
        <v>48</v>
      </c>
      <c r="AC98" s="1352" t="str">
        <f>AG19</f>
        <v/>
      </c>
      <c r="AD98" s="1352"/>
      <c r="AE98" s="1352" t="str">
        <f>AG15</f>
        <v/>
      </c>
      <c r="AF98" s="1352"/>
      <c r="AG98" s="135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
      </c>
      <c r="AH98" s="1352"/>
      <c r="AI98" s="135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
      </c>
      <c r="AJ98" s="1352"/>
      <c r="AK98" s="767"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E1C2C4D4F2D2E4D3D1F3E3C3C1E2F4F1????????????????????????????????????????????????????????????????</v>
      </c>
      <c r="AL98" s="767"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B4A1A3B3B2A2B1A4????????????????????????????????????????????????????????????????</v>
      </c>
      <c r="AM98" s="1358" t="str">
        <f ca="1">IF(AG98="","",IF(LEN(AG98)&gt;=2,VLOOKUP(LEFT(AG98,2),Voorblad!$X$67:$Y$98,2)&amp;IF(LEN(AG98)&gt;=4," / "&amp;VLOOKUP(RIGHT(LEFT(AG98,4),2),Voorblad!$X$67:$Y$98,2),""),""))</f>
        <v/>
      </c>
      <c r="AN98" s="1358"/>
      <c r="AO98" s="756" t="str">
        <f ca="1">IF(AI98="","",IF(LEN(AI98)&gt;=2,VLOOKUP(LEFT(AI98,2),Voorblad!$X$67:$Y$98,2)&amp;IF(LEN(AI98)&gt;=4," / "&amp;VLOOKUP(RIGHT(LEFT(AI98,4),2),Voorblad!$X$67:$Y$98,2),""),""))</f>
        <v/>
      </c>
      <c r="AP98" s="266"/>
      <c r="AQ98" s="749" t="str">
        <f ca="1">Voorblad!AA92</f>
        <v>G2</v>
      </c>
      <c r="AR98" s="750"/>
      <c r="AS98" s="730" t="str">
        <f ca="1">IF(AT98=$AR$11,$AQ$11,IF(AT98=$AR$12,$AQ$12,VLOOKUP(AT98,Voorblad!$X$67:$Z$98,2,FALSE)))</f>
        <v/>
      </c>
      <c r="AT98" s="731" t="str">
        <f t="shared" ca="1" si="17"/>
        <v>??</v>
      </c>
      <c r="AU98" s="730" t="str">
        <f ca="1">IF(AV98=$AR$11,$AQ$11,IF(AV98=$AR$12,$AQ$12,VLOOKUP(AV98,Voorblad!$X$67:$Z$98,2,FALSE)))</f>
        <v/>
      </c>
      <c r="AV98" s="731" t="str">
        <f t="shared" ca="1" si="18"/>
        <v>??</v>
      </c>
      <c r="AW98" s="730" t="str">
        <f ca="1">IF(AX98=$AR$11,$AQ$11,IF(AX98=$AR$12,$AQ$12,VLOOKUP(AX98,Voorblad!$X$67:$Z$98,2,FALSE)))</f>
        <v/>
      </c>
      <c r="AX98" s="731" t="str">
        <f t="shared" ca="1" si="19"/>
        <v>??</v>
      </c>
      <c r="AY98" s="730" t="str">
        <f ca="1">IF(AZ98=$AR$11,$AQ$11,IF(AZ98=$AR$12,$AQ$12,VLOOKUP(AZ98,Voorblad!$X$67:$Z$98,2,FALSE)))</f>
        <v/>
      </c>
      <c r="AZ98" s="731" t="str">
        <f t="shared" ca="1" si="20"/>
        <v>??</v>
      </c>
      <c r="BA98" s="733">
        <f t="shared" si="21"/>
        <v>52</v>
      </c>
    </row>
    <row r="99" spans="28:53" x14ac:dyDescent="0.25">
      <c r="AB99" s="757">
        <f>D42</f>
        <v>47</v>
      </c>
      <c r="AC99" s="1354" t="str">
        <f>AG27</f>
        <v/>
      </c>
      <c r="AD99" s="1354"/>
      <c r="AE99" s="1354" t="str">
        <f>AG29</f>
        <v/>
      </c>
      <c r="AF99" s="1354"/>
      <c r="AG99" s="135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
      </c>
      <c r="AH99" s="1354"/>
      <c r="AI99" s="135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
      </c>
      <c r="AJ99" s="1354"/>
      <c r="AK99" s="768"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B4E1C2A1C4D4A3B3B2D2E4D3D1E3A2C3C1E2B1A4????????????????????????????????????????????????????????????????</v>
      </c>
      <c r="AL99" s="768"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D4F2D2D3D1F3F4F1????????????????????????????????????????????????????????????????</v>
      </c>
      <c r="AM99" s="1359" t="str">
        <f ca="1">IF(AG99="","",IF(LEN(AG99)&gt;=2,VLOOKUP(LEFT(AG99,2),Voorblad!$X$67:$Y$98,2)&amp;IF(LEN(AG99)&gt;=4," / "&amp;VLOOKUP(RIGHT(LEFT(AG99,4),2),Voorblad!$X$67:$Y$98,2),""),""))</f>
        <v/>
      </c>
      <c r="AN99" s="1359"/>
      <c r="AO99" s="757" t="str">
        <f ca="1">IF(AI99="","",IF(LEN(AI99)&gt;=2,VLOOKUP(LEFT(AI99,2),Voorblad!$X$67:$Y$98,2)&amp;IF(LEN(AI99)&gt;=4," / "&amp;VLOOKUP(RIGHT(LEFT(AI99,4),2),Voorblad!$X$67:$Y$98,2),""),""))</f>
        <v/>
      </c>
      <c r="AP99" s="266"/>
      <c r="AQ99" s="749" t="str">
        <f ca="1">Voorblad!AA93</f>
        <v>G3</v>
      </c>
      <c r="AR99" s="750"/>
      <c r="AS99" s="730" t="str">
        <f ca="1">IF(AT99=$AR$11,$AQ$11,IF(AT99=$AR$12,$AQ$12,VLOOKUP(AT99,Voorblad!$X$67:$Z$98,2,FALSE)))</f>
        <v/>
      </c>
      <c r="AT99" s="731" t="str">
        <f t="shared" ca="1" si="17"/>
        <v>??</v>
      </c>
      <c r="AU99" s="730" t="str">
        <f ca="1">IF(AV99=$AR$11,$AQ$11,IF(AV99=$AR$12,$AQ$12,VLOOKUP(AV99,Voorblad!$X$67:$Z$98,2,FALSE)))</f>
        <v/>
      </c>
      <c r="AV99" s="731" t="str">
        <f t="shared" ca="1" si="18"/>
        <v>??</v>
      </c>
      <c r="AW99" s="730" t="str">
        <f ca="1">IF(AX99=$AR$11,$AQ$11,IF(AX99=$AR$12,$AQ$12,VLOOKUP(AX99,Voorblad!$X$67:$Z$98,2,FALSE)))</f>
        <v/>
      </c>
      <c r="AX99" s="731" t="str">
        <f t="shared" ca="1" si="19"/>
        <v>??</v>
      </c>
      <c r="AY99" s="730" t="str">
        <f ca="1">IF(AZ99=$AR$11,$AQ$11,IF(AZ99=$AR$12,$AQ$12,VLOOKUP(AZ99,Voorblad!$X$67:$Z$98,2,FALSE)))</f>
        <v/>
      </c>
      <c r="AZ99" s="731" t="str">
        <f t="shared" ca="1" si="20"/>
        <v>??</v>
      </c>
      <c r="BA99" s="733">
        <f t="shared" si="21"/>
        <v>54</v>
      </c>
    </row>
    <row r="100" spans="28:53" x14ac:dyDescent="0.25">
      <c r="AB100" s="268"/>
      <c r="AC100" s="941"/>
      <c r="AD100" s="941"/>
      <c r="AE100" s="941"/>
      <c r="AF100" s="941"/>
      <c r="AG100" s="941"/>
      <c r="AH100" s="941"/>
      <c r="AI100" s="941"/>
      <c r="AJ100" s="941"/>
      <c r="AK100" s="941"/>
      <c r="AL100" s="941"/>
      <c r="AM100" s="268"/>
      <c r="AN100" s="268"/>
      <c r="AO100" s="268"/>
      <c r="AP100" s="266"/>
      <c r="AQ100" s="749" t="str">
        <f ca="1">Voorblad!AA94</f>
        <v>G4</v>
      </c>
      <c r="AR100" s="750"/>
      <c r="AS100" s="730" t="str">
        <f ca="1">IF(AT100=$AR$11,$AQ$11,IF(AT100=$AR$12,$AQ$12,VLOOKUP(AT100,Voorblad!$X$67:$Z$98,2,FALSE)))</f>
        <v/>
      </c>
      <c r="AT100" s="731" t="str">
        <f t="shared" ca="1" si="17"/>
        <v>??</v>
      </c>
      <c r="AU100" s="730" t="str">
        <f ca="1">IF(AV100=$AR$11,$AQ$11,IF(AV100=$AR$12,$AQ$12,VLOOKUP(AV100,Voorblad!$X$67:$Z$98,2,FALSE)))</f>
        <v/>
      </c>
      <c r="AV100" s="731" t="str">
        <f t="shared" ca="1" si="18"/>
        <v>??</v>
      </c>
      <c r="AW100" s="730" t="str">
        <f ca="1">IF(AX100=$AR$11,$AQ$11,IF(AX100=$AR$12,$AQ$12,VLOOKUP(AX100,Voorblad!$X$67:$Z$98,2,FALSE)))</f>
        <v/>
      </c>
      <c r="AX100" s="731" t="str">
        <f t="shared" ca="1" si="19"/>
        <v>??</v>
      </c>
      <c r="AY100" s="730" t="str">
        <f ca="1">IF(AZ100=$AR$11,$AQ$11,IF(AZ100=$AR$12,$AQ$12,VLOOKUP(AZ100,Voorblad!$X$67:$Z$98,2,FALSE)))</f>
        <v/>
      </c>
      <c r="AZ100" s="731" t="str">
        <f t="shared" ca="1" si="20"/>
        <v>??</v>
      </c>
      <c r="BA100" s="733">
        <f t="shared" si="21"/>
        <v>56</v>
      </c>
    </row>
    <row r="101" spans="28:53" x14ac:dyDescent="0.25">
      <c r="AB101" s="759" t="str">
        <f>$AB$85</f>
        <v>nr.</v>
      </c>
      <c r="AC101" s="1337" t="str">
        <f>$AC$85</f>
        <v>suggestie - thuis</v>
      </c>
      <c r="AD101" s="1337"/>
      <c r="AE101" s="1337" t="str">
        <f>$AE$85</f>
        <v>suggestie - uit</v>
      </c>
      <c r="AF101" s="1337"/>
      <c r="AG101" s="1337" t="str">
        <f>$AG$85</f>
        <v>thuis code</v>
      </c>
      <c r="AH101" s="1337"/>
      <c r="AI101" s="1337" t="str">
        <f>$AG$85</f>
        <v>thuis code</v>
      </c>
      <c r="AJ101" s="1337"/>
      <c r="AK101" s="826" t="str">
        <f>$AK$85</f>
        <v>thuis menu</v>
      </c>
      <c r="AL101" s="826" t="str">
        <f>$AL$85</f>
        <v>uit menu</v>
      </c>
      <c r="AM101" s="1338" t="str">
        <f>$AM$85</f>
        <v>thuis (landen)</v>
      </c>
      <c r="AN101" s="1338"/>
      <c r="AO101" s="760" t="str">
        <f>$AO$85</f>
        <v>uit (landen)</v>
      </c>
      <c r="AP101" s="266"/>
      <c r="AQ101" s="749" t="str">
        <f ca="1">Voorblad!AA95</f>
        <v>H1</v>
      </c>
      <c r="AR101" s="750"/>
      <c r="AS101" s="730" t="str">
        <f ca="1">IF(AT101=$AR$11,$AQ$11,IF(AT101=$AR$12,$AQ$12,VLOOKUP(AT101,Voorblad!$X$67:$Z$98,2,FALSE)))</f>
        <v/>
      </c>
      <c r="AT101" s="731" t="str">
        <f t="shared" ca="1" si="17"/>
        <v>??</v>
      </c>
      <c r="AU101" s="730" t="str">
        <f ca="1">IF(AV101=$AR$11,$AQ$11,IF(AV101=$AR$12,$AQ$12,VLOOKUP(AV101,Voorblad!$X$67:$Z$98,2,FALSE)))</f>
        <v/>
      </c>
      <c r="AV101" s="731" t="str">
        <f t="shared" ca="1" si="18"/>
        <v>??</v>
      </c>
      <c r="AW101" s="730" t="str">
        <f ca="1">IF(AX101=$AR$11,$AQ$11,IF(AX101=$AR$12,$AQ$12,VLOOKUP(AX101,Voorblad!$X$67:$Z$98,2,FALSE)))</f>
        <v/>
      </c>
      <c r="AX101" s="731" t="str">
        <f t="shared" ca="1" si="19"/>
        <v>??</v>
      </c>
      <c r="AY101" s="730" t="str">
        <f ca="1">IF(AZ101=$AR$11,$AQ$11,IF(AZ101=$AR$12,$AQ$12,VLOOKUP(AZ101,Voorblad!$X$67:$Z$98,2,FALSE)))</f>
        <v/>
      </c>
      <c r="AZ101" s="731" t="str">
        <f t="shared" ca="1" si="20"/>
        <v>??</v>
      </c>
      <c r="BA101" s="733">
        <f t="shared" si="21"/>
        <v>58</v>
      </c>
    </row>
    <row r="102" spans="28:53" x14ac:dyDescent="0.25">
      <c r="AB102" s="756">
        <f>D46</f>
        <v>49</v>
      </c>
      <c r="AC102" s="1352" t="str">
        <f>AG37</f>
        <v/>
      </c>
      <c r="AD102" s="1352"/>
      <c r="AE102" s="1352" t="str">
        <f>AG39</f>
        <v/>
      </c>
      <c r="AF102" s="1352"/>
      <c r="AG102" s="135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
      </c>
      <c r="AH102" s="1352"/>
      <c r="AI102" s="135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
      </c>
      <c r="AJ102" s="1352"/>
      <c r="AK102" s="767"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B4E1C2A1C4D4F2A3B3B2D2E4D3D1F3E3A2C3C1E2B1F4F1A4????????????????????????????????????????????????????????????????</v>
      </c>
      <c r="AL102" s="767"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B4E1C2A1C4D4F2A3B3B2D2E4D3D1F3E3A2C3C1E2B1F4F1A4????????????????????????????????????????????????????????????????</v>
      </c>
      <c r="AM102" s="1358" t="str">
        <f ca="1">IF(AG102="","",IF(LEN(AG102)&gt;=2,VLOOKUP(LEFT(AG102,2),Voorblad!$X$67:$Y$98,2)&amp;IF(LEN(AG102)&gt;=4," / "&amp;VLOOKUP(RIGHT(LEFT(AG102,4),2),Voorblad!$X$67:$Y$98,2),""),""))</f>
        <v/>
      </c>
      <c r="AN102" s="1358"/>
      <c r="AO102" s="756" t="str">
        <f ca="1">IF(AI102="","",IF(LEN(AI102)&gt;=2,VLOOKUP(LEFT(AI102,2),Voorblad!$X$67:$Y$98,2)&amp;IF(LEN(AI102)&gt;=4," / "&amp;VLOOKUP(RIGHT(LEFT(AI102,4),2),Voorblad!$X$67:$Y$98,2),""),""))</f>
        <v/>
      </c>
      <c r="AP102" s="266"/>
      <c r="AQ102" s="749" t="str">
        <f ca="1">Voorblad!AA96</f>
        <v>H2</v>
      </c>
      <c r="AR102" s="750"/>
      <c r="AS102" s="730" t="str">
        <f ca="1">IF(AT102=$AR$11,$AQ$11,IF(AT102=$AR$12,$AQ$12,VLOOKUP(AT102,Voorblad!$X$67:$Z$98,2,FALSE)))</f>
        <v/>
      </c>
      <c r="AT102" s="731" t="str">
        <f t="shared" ca="1" si="17"/>
        <v>??</v>
      </c>
      <c r="AU102" s="730" t="str">
        <f ca="1">IF(AV102=$AR$11,$AQ$11,IF(AV102=$AR$12,$AQ$12,VLOOKUP(AV102,Voorblad!$X$67:$Z$98,2,FALSE)))</f>
        <v/>
      </c>
      <c r="AV102" s="731" t="str">
        <f t="shared" ca="1" si="18"/>
        <v>??</v>
      </c>
      <c r="AW102" s="730" t="str">
        <f ca="1">IF(AX102=$AR$11,$AQ$11,IF(AX102=$AR$12,$AQ$12,VLOOKUP(AX102,Voorblad!$X$67:$Z$98,2,FALSE)))</f>
        <v/>
      </c>
      <c r="AX102" s="731" t="str">
        <f t="shared" ca="1" si="19"/>
        <v>??</v>
      </c>
      <c r="AY102" s="730" t="str">
        <f ca="1">IF(AZ102=$AR$11,$AQ$11,IF(AZ102=$AR$12,$AQ$12,VLOOKUP(AZ102,Voorblad!$X$67:$Z$98,2,FALSE)))</f>
        <v/>
      </c>
      <c r="AZ102" s="731" t="str">
        <f t="shared" ca="1" si="20"/>
        <v>??</v>
      </c>
      <c r="BA102" s="733">
        <f t="shared" si="21"/>
        <v>60</v>
      </c>
    </row>
    <row r="103" spans="28:53" x14ac:dyDescent="0.25">
      <c r="AB103" s="757">
        <f>D48</f>
        <v>50</v>
      </c>
      <c r="AC103" s="1354" t="str">
        <f>AG43</f>
        <v/>
      </c>
      <c r="AD103" s="1354"/>
      <c r="AE103" s="1354" t="str">
        <f>AG41</f>
        <v/>
      </c>
      <c r="AF103" s="1354"/>
      <c r="AG103" s="135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
      </c>
      <c r="AH103" s="1354"/>
      <c r="AI103" s="135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
      </c>
      <c r="AJ103" s="1354"/>
      <c r="AK103" s="768"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B4E1C2A1C4D4F2A3B3B2D2E4D3D1F3E3A2C3C1E2B1F4F1A4????????????????????????????????????????????????????????????????</v>
      </c>
      <c r="AL103" s="768"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B4E1C2A1C4D4F2A3B3B2D2E4D3D1F3E3A2C3C1E2B1F4F1A4????????????????????????????????????????????????????????????????</v>
      </c>
      <c r="AM103" s="1359" t="str">
        <f ca="1">IF(AG103="","",IF(LEN(AG103)&gt;=2,VLOOKUP(LEFT(AG103,2),Voorblad!$X$67:$Y$98,2)&amp;IF(LEN(AG103)&gt;=4," / "&amp;VLOOKUP(RIGHT(LEFT(AG103,4),2),Voorblad!$X$67:$Y$98,2),""),""))</f>
        <v/>
      </c>
      <c r="AN103" s="1359"/>
      <c r="AO103" s="757" t="str">
        <f ca="1">IF(AI103="","",IF(LEN(AI103)&gt;=2,VLOOKUP(LEFT(AI103,2),Voorblad!$X$67:$Y$98,2)&amp;IF(LEN(AI103)&gt;=4," / "&amp;VLOOKUP(RIGHT(LEFT(AI103,4),2),Voorblad!$X$67:$Y$98,2),""),""))</f>
        <v/>
      </c>
      <c r="AP103" s="266"/>
      <c r="AQ103" s="749" t="str">
        <f ca="1">Voorblad!AA97</f>
        <v>H3</v>
      </c>
      <c r="AR103" s="750"/>
      <c r="AS103" s="730" t="str">
        <f ca="1">IF(AT103=$AR$11,$AQ$11,IF(AT103=$AR$12,$AQ$12,VLOOKUP(AT103,Voorblad!$X$67:$Z$98,2,FALSE)))</f>
        <v/>
      </c>
      <c r="AT103" s="731" t="str">
        <f t="shared" ca="1" si="17"/>
        <v>??</v>
      </c>
      <c r="AU103" s="730" t="str">
        <f ca="1">IF(AV103=$AR$11,$AQ$11,IF(AV103=$AR$12,$AQ$12,VLOOKUP(AV103,Voorblad!$X$67:$Z$98,2,FALSE)))</f>
        <v/>
      </c>
      <c r="AV103" s="731" t="str">
        <f t="shared" ca="1" si="18"/>
        <v>??</v>
      </c>
      <c r="AW103" s="730" t="str">
        <f ca="1">IF(AX103=$AR$11,$AQ$11,IF(AX103=$AR$12,$AQ$12,VLOOKUP(AX103,Voorblad!$X$67:$Z$98,2,FALSE)))</f>
        <v/>
      </c>
      <c r="AX103" s="731" t="str">
        <f t="shared" ca="1" si="19"/>
        <v>??</v>
      </c>
      <c r="AY103" s="730" t="str">
        <f ca="1">IF(AZ103=$AR$11,$AQ$11,IF(AZ103=$AR$12,$AQ$12,VLOOKUP(AZ103,Voorblad!$X$67:$Z$98,2,FALSE)))</f>
        <v/>
      </c>
      <c r="AZ103" s="731" t="str">
        <f t="shared" ca="1" si="20"/>
        <v>??</v>
      </c>
      <c r="BA103" s="733">
        <f t="shared" si="21"/>
        <v>62</v>
      </c>
    </row>
    <row r="104" spans="28:53" x14ac:dyDescent="0.25">
      <c r="AB104" s="268"/>
      <c r="AC104" s="941"/>
      <c r="AD104" s="941"/>
      <c r="AE104" s="941"/>
      <c r="AF104" s="941"/>
      <c r="AG104" s="941"/>
      <c r="AH104" s="941"/>
      <c r="AI104" s="941"/>
      <c r="AJ104" s="941"/>
      <c r="AK104" s="941"/>
      <c r="AL104" s="941"/>
      <c r="AM104" s="268"/>
      <c r="AN104" s="268"/>
      <c r="AO104" s="268"/>
      <c r="AP104" s="266"/>
      <c r="AQ104" s="749" t="str">
        <f ca="1">Voorblad!AA98</f>
        <v>H4</v>
      </c>
      <c r="AR104" s="750"/>
      <c r="AS104" s="730" t="str">
        <f ca="1">IF(AT104=$AR$11,$AQ$11,IF(AT104=$AR$12,$AQ$12,VLOOKUP(AT104,Voorblad!$X$67:$Z$98,2,FALSE)))</f>
        <v/>
      </c>
      <c r="AT104" s="731" t="str">
        <f t="shared" ca="1" si="17"/>
        <v>??</v>
      </c>
      <c r="AU104" s="730" t="str">
        <f ca="1">IF(AV104=$AR$11,$AQ$11,IF(AV104=$AR$12,$AQ$12,VLOOKUP(AV104,Voorblad!$X$67:$Z$98,2,FALSE)))</f>
        <v/>
      </c>
      <c r="AV104" s="731" t="str">
        <f t="shared" ca="1" si="18"/>
        <v>??</v>
      </c>
      <c r="AW104" s="730" t="str">
        <f ca="1">IF(AX104=$AR$11,$AQ$11,IF(AX104=$AR$12,$AQ$12,VLOOKUP(AX104,Voorblad!$X$67:$Z$98,2,FALSE)))</f>
        <v/>
      </c>
      <c r="AX104" s="731" t="str">
        <f t="shared" ca="1" si="19"/>
        <v>??</v>
      </c>
      <c r="AY104" s="730" t="str">
        <f ca="1">IF(AZ104=$AR$11,$AQ$11,IF(AZ104=$AR$12,$AQ$12,VLOOKUP(AZ104,Voorblad!$X$67:$Z$98,2,FALSE)))</f>
        <v/>
      </c>
      <c r="AZ104" s="731" t="str">
        <f t="shared" ca="1" si="20"/>
        <v>??</v>
      </c>
      <c r="BA104" s="733">
        <f t="shared" si="21"/>
        <v>64</v>
      </c>
    </row>
    <row r="105" spans="28:53" x14ac:dyDescent="0.25">
      <c r="AB105" s="759" t="str">
        <f>$AB$85</f>
        <v>nr.</v>
      </c>
      <c r="AC105" s="1337" t="str">
        <f>$AC$85</f>
        <v>suggestie - thuis</v>
      </c>
      <c r="AD105" s="1337"/>
      <c r="AE105" s="1337" t="str">
        <f>$AE$85</f>
        <v>suggestie - uit</v>
      </c>
      <c r="AF105" s="1337"/>
      <c r="AG105" s="1337" t="str">
        <f>$AG$85</f>
        <v>thuis code</v>
      </c>
      <c r="AH105" s="1337"/>
      <c r="AI105" s="1337" t="str">
        <f>$AG$85</f>
        <v>thuis code</v>
      </c>
      <c r="AJ105" s="1337"/>
      <c r="AK105" s="826" t="str">
        <f>$AK$85</f>
        <v>thuis menu</v>
      </c>
      <c r="AL105" s="826" t="str">
        <f>$AL$85</f>
        <v>uit menu</v>
      </c>
      <c r="AM105" s="1338" t="str">
        <f>$AM$85</f>
        <v>thuis (landen)</v>
      </c>
      <c r="AN105" s="1338"/>
      <c r="AO105" s="760" t="str">
        <f>$AO$85</f>
        <v>uit (landen)</v>
      </c>
      <c r="AP105" s="266"/>
      <c r="AQ105" s="751"/>
      <c r="AR105" s="752"/>
      <c r="AS105" s="730" t="str">
        <f ca="1">IF(AT105=$AR$11,$AQ$11,IF(AT105=$AR$12,$AQ$12,VLOOKUP(AT105,Voorblad!$X$67:$Z$98,2,FALSE)))</f>
        <v/>
      </c>
      <c r="AT105" s="731" t="str">
        <f t="shared" ca="1" si="17"/>
        <v>??</v>
      </c>
      <c r="AU105" s="730" t="str">
        <f ca="1">IF(AV105=$AR$11,$AQ$11,IF(AV105=$AR$12,$AQ$12,VLOOKUP(AV105,Voorblad!$X$67:$Z$98,2,FALSE)))</f>
        <v/>
      </c>
      <c r="AV105" s="731" t="str">
        <f t="shared" ca="1" si="18"/>
        <v>??</v>
      </c>
      <c r="AW105" s="730" t="str">
        <f ca="1">IF(AX105=$AR$11,$AQ$11,IF(AX105=$AR$12,$AQ$12,VLOOKUP(AX105,Voorblad!$X$67:$Z$98,2,FALSE)))</f>
        <v/>
      </c>
      <c r="AX105" s="731" t="str">
        <f t="shared" ca="1" si="19"/>
        <v>??</v>
      </c>
      <c r="AY105" s="730" t="str">
        <f ca="1">IF(AZ105=$AR$11,$AQ$11,IF(AZ105=$AR$12,$AQ$12,VLOOKUP(AZ105,Voorblad!$X$67:$Z$98,2,FALSE)))</f>
        <v/>
      </c>
      <c r="AZ105" s="731" t="str">
        <f t="shared" ca="1" si="20"/>
        <v>??</v>
      </c>
      <c r="BA105" s="736">
        <f t="shared" si="21"/>
        <v>66</v>
      </c>
    </row>
    <row r="106" spans="28:53" ht="15.75" x14ac:dyDescent="0.25">
      <c r="AB106" s="756">
        <f>D52</f>
        <v>75</v>
      </c>
      <c r="AC106" s="1352" t="str">
        <f>AG48</f>
        <v/>
      </c>
      <c r="AD106" s="1352"/>
      <c r="AE106" s="1352" t="str">
        <f>AG50</f>
        <v/>
      </c>
      <c r="AF106" s="1352"/>
      <c r="AG106" s="135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
      </c>
      <c r="AH106" s="1352"/>
      <c r="AI106" s="135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
      </c>
      <c r="AJ106" s="1352"/>
      <c r="AK106" s="767"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B4E1C2A1C4D4F2A3B3B2D2E4D3D1F3E3A2C3C1E2B1F4F1A4????????????????????????????????????????????????????????????????</v>
      </c>
      <c r="AL106" s="767"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B4E1C2A1C4D4F2A3B3B2D2E4D3D1F3E3A2C3C1E2B1F4F1A4????????????????????????????????????????????????????????????????</v>
      </c>
      <c r="AM106" s="1358" t="str">
        <f ca="1">IF(AG106="","",IF(LEN(AG106)&gt;=2,VLOOKUP(LEFT(AG106,2),Voorblad!$X$67:$Y$98,2)&amp;IF(LEN(AG106)&gt;=4," / "&amp;VLOOKUP(RIGHT(LEFT(AG106,4),2),Voorblad!$X$67:$Y$98,2),""),""))</f>
        <v/>
      </c>
      <c r="AN106" s="1358"/>
      <c r="AO106" s="756" t="str">
        <f ca="1">IF(AI106="","",IF(LEN(AI106)&gt;=2,VLOOKUP(LEFT(AI106,2),Voorblad!$X$67:$Y$98,2)&amp;IF(LEN(AI106)&gt;=4," / "&amp;VLOOKUP(RIGHT(LEFT(AI106,4),2),Voorblad!$X$67:$Y$98,2),""),""))</f>
        <v/>
      </c>
      <c r="AP106" s="266"/>
      <c r="AQ106" s="761"/>
      <c r="AR106" s="762" t="s">
        <v>979</v>
      </c>
      <c r="AS106" s="737"/>
      <c r="AT106" s="738" t="s">
        <v>979</v>
      </c>
      <c r="AU106" s="737"/>
      <c r="AV106" s="738" t="s">
        <v>979</v>
      </c>
      <c r="AW106" s="741"/>
      <c r="AX106" s="742" t="s">
        <v>979</v>
      </c>
      <c r="AY106" s="741"/>
      <c r="AZ106" s="742" t="s">
        <v>979</v>
      </c>
      <c r="BA106" s="743"/>
    </row>
    <row r="107" spans="28:53" x14ac:dyDescent="0.25">
      <c r="AB107" s="268"/>
      <c r="AC107" s="941"/>
      <c r="AD107" s="941"/>
      <c r="AE107" s="941"/>
      <c r="AF107" s="941"/>
      <c r="AG107" s="941"/>
      <c r="AH107" s="941"/>
      <c r="AI107" s="941"/>
      <c r="AJ107" s="941"/>
      <c r="AK107" s="941"/>
      <c r="AL107" s="941"/>
      <c r="AM107" s="268"/>
      <c r="AN107" s="268"/>
      <c r="AO107" s="268"/>
      <c r="AP107" s="266"/>
      <c r="AQ107" s="763" t="str">
        <f ca="1">IF(AR107=$AR$11,$AQ$11,IF(AR107=$AR$12,$AQ$12,VLOOKUP(AR107,Voorblad!$X$67:$Z$98,2,FALSE)))</f>
        <v>Albanië</v>
      </c>
      <c r="AR107" s="764" t="str">
        <f ca="1">RIGHT(LEFT($AK$112,$BA107),2)</f>
        <v>B4</v>
      </c>
      <c r="AS107" s="739" t="str">
        <f ca="1">IF(AT107=$AR$11,$AQ$11,IF(AT107=$AR$12,$AQ$12,VLOOKUP(AT107,Voorblad!$X$67:$Z$98,2,FALSE)))</f>
        <v>Albanië</v>
      </c>
      <c r="AT107" s="740" t="str">
        <f ca="1">RIGHT(LEFT($AK$106,$BA107),2)</f>
        <v>B4</v>
      </c>
      <c r="AU107" s="739" t="str">
        <f ca="1">IF(AV107=$AR$11,$AQ$11,IF(AV107=$AR$12,$AQ$12,VLOOKUP(AV107,Voorblad!$X$67:$Z$98,2,FALSE)))</f>
        <v>Albanië</v>
      </c>
      <c r="AV107" s="740" t="str">
        <f ca="1">RIGHT(LEFT($AL$106,$BA107),2)</f>
        <v>B4</v>
      </c>
      <c r="AW107" s="744" t="str">
        <f ca="1">IF(AX107=$AR$11,$AQ$11,IF(AX107=$AR$12,$AQ$12,VLOOKUP(AX107,Voorblad!$X$67:$Z$98,2,FALSE)))</f>
        <v>Albanië</v>
      </c>
      <c r="AX107" s="745" t="str">
        <f ca="1">RIGHT(LEFT($AK$109,$BA107),2)</f>
        <v>B4</v>
      </c>
      <c r="AY107" s="744" t="str">
        <f ca="1">IF(AZ107=$AR$11,$AQ$11,IF(AZ107=$AR$12,$AQ$12,VLOOKUP(AZ107,Voorblad!$X$67:$Z$98,2,FALSE)))</f>
        <v>Albanië</v>
      </c>
      <c r="AZ107" s="745" t="str">
        <f ca="1">RIGHT(LEFT($AL$109,$BA107),2)</f>
        <v>B4</v>
      </c>
      <c r="BA107" s="746">
        <v>2</v>
      </c>
    </row>
    <row r="108" spans="28:53" x14ac:dyDescent="0.25">
      <c r="AB108" s="759" t="str">
        <f>$AB$85</f>
        <v>nr.</v>
      </c>
      <c r="AC108" s="1337" t="str">
        <f>$AC$85</f>
        <v>suggestie - thuis</v>
      </c>
      <c r="AD108" s="1337"/>
      <c r="AE108" s="1337" t="str">
        <f>$AE$85</f>
        <v>suggestie - uit</v>
      </c>
      <c r="AF108" s="1337"/>
      <c r="AG108" s="1337" t="str">
        <f>$AG$85</f>
        <v>thuis code</v>
      </c>
      <c r="AH108" s="1337"/>
      <c r="AI108" s="1337" t="str">
        <f>$AG$85</f>
        <v>thuis code</v>
      </c>
      <c r="AJ108" s="1337"/>
      <c r="AK108" s="826" t="str">
        <f>$AK$85</f>
        <v>thuis menu</v>
      </c>
      <c r="AL108" s="826" t="str">
        <f>$AL$85</f>
        <v>uit menu</v>
      </c>
      <c r="AM108" s="1338" t="str">
        <f>$AM$85</f>
        <v>thuis (landen)</v>
      </c>
      <c r="AN108" s="1338"/>
      <c r="AO108" s="760" t="str">
        <f>$AO$85</f>
        <v>uit (landen)</v>
      </c>
      <c r="AP108" s="266"/>
      <c r="AQ108" s="763" t="str">
        <f ca="1">IF(AR108=$AR$11,$AQ$11,IF(AR108=$AR$12,$AQ$12,VLOOKUP(AR108,Voorblad!$X$67:$Z$98,2,FALSE)))</f>
        <v>België</v>
      </c>
      <c r="AR108" s="764" t="str">
        <f t="shared" ref="AR108:AR139" ca="1" si="29">RIGHT(LEFT($AK$112,$BA108),2)</f>
        <v>E1</v>
      </c>
      <c r="AS108" s="739" t="str">
        <f ca="1">IF(AT108=$AR$11,$AQ$11,IF(AT108=$AR$12,$AQ$12,VLOOKUP(AT108,Voorblad!$X$67:$Z$98,2,FALSE)))</f>
        <v>België</v>
      </c>
      <c r="AT108" s="740" t="str">
        <f t="shared" ref="AT108:AT139" ca="1" si="30">RIGHT(LEFT($AK$106,$BA108),2)</f>
        <v>E1</v>
      </c>
      <c r="AU108" s="739" t="str">
        <f ca="1">IF(AV108=$AR$11,$AQ$11,IF(AV108=$AR$12,$AQ$12,VLOOKUP(AV108,Voorblad!$X$67:$Z$98,2,FALSE)))</f>
        <v>België</v>
      </c>
      <c r="AV108" s="740" t="str">
        <f t="shared" ref="AV108:AV139" ca="1" si="31">RIGHT(LEFT($AL$106,$BA108),2)</f>
        <v>E1</v>
      </c>
      <c r="AW108" s="744" t="str">
        <f ca="1">IF(AX108=$AR$11,$AQ$11,IF(AX108=$AR$12,$AQ$12,VLOOKUP(AX108,Voorblad!$X$67:$Z$98,2,FALSE)))</f>
        <v>België</v>
      </c>
      <c r="AX108" s="745" t="str">
        <f t="shared" ref="AX108:AX139" ca="1" si="32">RIGHT(LEFT($AK$109,$BA108),2)</f>
        <v>E1</v>
      </c>
      <c r="AY108" s="744" t="str">
        <f ca="1">IF(AZ108=$AR$11,$AQ$11,IF(AZ108=$AR$12,$AQ$12,VLOOKUP(AZ108,Voorblad!$X$67:$Z$98,2,FALSE)))</f>
        <v>België</v>
      </c>
      <c r="AZ108" s="745" t="str">
        <f t="shared" ref="AZ108:AZ139" ca="1" si="33">RIGHT(LEFT($AL$109,$BA108),2)</f>
        <v>E1</v>
      </c>
      <c r="BA108" s="747">
        <f t="shared" ref="BA108:BA139" si="34">BA107+2</f>
        <v>4</v>
      </c>
    </row>
    <row r="109" spans="28:53" x14ac:dyDescent="0.25">
      <c r="AB109" s="756">
        <f>D56</f>
        <v>51</v>
      </c>
      <c r="AC109" s="1352" t="str">
        <f>AG47</f>
        <v/>
      </c>
      <c r="AD109" s="1352"/>
      <c r="AE109" s="1352" t="str">
        <f>AG49</f>
        <v/>
      </c>
      <c r="AF109" s="1352"/>
      <c r="AG109" s="135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
      </c>
      <c r="AH109" s="1352"/>
      <c r="AI109" s="135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
      </c>
      <c r="AJ109" s="1352"/>
      <c r="AK109" s="767"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B4E1C2A1C4D4F2A3B3B2D2E4D3D1F3E3A2C3C1E2B1F4F1A4????????????????????????????????????????????????????????????????</v>
      </c>
      <c r="AL109" s="767"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B4E1C2A1C4D4F2A3B3B2D2E4D3D1F3E3A2C3C1E2B1F4F1A4????????????????????????????????????????????????????????????????</v>
      </c>
      <c r="AM109" s="1358" t="str">
        <f ca="1">IF(AG109="","",IF(LEN(AG109)&gt;=2,VLOOKUP(LEFT(AG109,2),Voorblad!$X$67:$Y$98,2)&amp;IF(LEN(AG109)&gt;=4," / "&amp;VLOOKUP(RIGHT(LEFT(AG109,4),2),Voorblad!$X$67:$Y$98,2),""),""))</f>
        <v/>
      </c>
      <c r="AN109" s="1358"/>
      <c r="AO109" s="756" t="str">
        <f ca="1">IF(AI109="","",IF(LEN(AI109)&gt;=2,VLOOKUP(LEFT(AI109,2),Voorblad!$X$67:$Y$98,2)&amp;IF(LEN(AI109)&gt;=4," / "&amp;VLOOKUP(RIGHT(LEFT(AI109,4),2),Voorblad!$X$67:$Y$98,2),""),""))</f>
        <v/>
      </c>
      <c r="AP109" s="266"/>
      <c r="AQ109" s="763" t="str">
        <f ca="1">IF(AR109=$AR$11,$AQ$11,IF(AR109=$AR$12,$AQ$12,VLOOKUP(AR109,Voorblad!$X$67:$Z$98,2,FALSE)))</f>
        <v>Denemarken</v>
      </c>
      <c r="AR109" s="764" t="str">
        <f t="shared" ca="1" si="29"/>
        <v>C2</v>
      </c>
      <c r="AS109" s="739" t="str">
        <f ca="1">IF(AT109=$AR$11,$AQ$11,IF(AT109=$AR$12,$AQ$12,VLOOKUP(AT109,Voorblad!$X$67:$Z$98,2,FALSE)))</f>
        <v>Denemarken</v>
      </c>
      <c r="AT109" s="740" t="str">
        <f t="shared" ca="1" si="30"/>
        <v>C2</v>
      </c>
      <c r="AU109" s="739" t="str">
        <f ca="1">IF(AV109=$AR$11,$AQ$11,IF(AV109=$AR$12,$AQ$12,VLOOKUP(AV109,Voorblad!$X$67:$Z$98,2,FALSE)))</f>
        <v>Denemarken</v>
      </c>
      <c r="AV109" s="740" t="str">
        <f t="shared" ca="1" si="31"/>
        <v>C2</v>
      </c>
      <c r="AW109" s="744" t="str">
        <f ca="1">IF(AX109=$AR$11,$AQ$11,IF(AX109=$AR$12,$AQ$12,VLOOKUP(AX109,Voorblad!$X$67:$Z$98,2,FALSE)))</f>
        <v>Denemarken</v>
      </c>
      <c r="AX109" s="745" t="str">
        <f t="shared" ca="1" si="32"/>
        <v>C2</v>
      </c>
      <c r="AY109" s="744" t="str">
        <f ca="1">IF(AZ109=$AR$11,$AQ$11,IF(AZ109=$AR$12,$AQ$12,VLOOKUP(AZ109,Voorblad!$X$67:$Z$98,2,FALSE)))</f>
        <v>Denemarken</v>
      </c>
      <c r="AZ109" s="745" t="str">
        <f t="shared" ca="1" si="33"/>
        <v>C2</v>
      </c>
      <c r="BA109" s="747">
        <f t="shared" si="34"/>
        <v>6</v>
      </c>
    </row>
    <row r="110" spans="28:53" x14ac:dyDescent="0.25">
      <c r="AB110" s="266"/>
      <c r="AC110" s="522"/>
      <c r="AD110" s="522"/>
      <c r="AE110" s="522"/>
      <c r="AF110" s="522"/>
      <c r="AG110" s="522"/>
      <c r="AH110" s="522"/>
      <c r="AI110" s="522"/>
      <c r="AJ110" s="522"/>
      <c r="AK110" s="522"/>
      <c r="AL110" s="522"/>
      <c r="AM110" s="266"/>
      <c r="AN110" s="266"/>
      <c r="AO110" s="266"/>
      <c r="AP110" s="266"/>
      <c r="AQ110" s="763" t="str">
        <f ca="1">IF(AR110=$AR$11,$AQ$11,IF(AR110=$AR$12,$AQ$12,VLOOKUP(AR110,Voorblad!$X$67:$Z$98,2,FALSE)))</f>
        <v>Duitsland</v>
      </c>
      <c r="AR110" s="764" t="str">
        <f t="shared" ca="1" si="29"/>
        <v>A1</v>
      </c>
      <c r="AS110" s="739" t="str">
        <f ca="1">IF(AT110=$AR$11,$AQ$11,IF(AT110=$AR$12,$AQ$12,VLOOKUP(AT110,Voorblad!$X$67:$Z$98,2,FALSE)))</f>
        <v>Duitsland</v>
      </c>
      <c r="AT110" s="740" t="str">
        <f t="shared" ca="1" si="30"/>
        <v>A1</v>
      </c>
      <c r="AU110" s="739" t="str">
        <f ca="1">IF(AV110=$AR$11,$AQ$11,IF(AV110=$AR$12,$AQ$12,VLOOKUP(AV110,Voorblad!$X$67:$Z$98,2,FALSE)))</f>
        <v>Duitsland</v>
      </c>
      <c r="AV110" s="740" t="str">
        <f t="shared" ca="1" si="31"/>
        <v>A1</v>
      </c>
      <c r="AW110" s="744" t="str">
        <f ca="1">IF(AX110=$AR$11,$AQ$11,IF(AX110=$AR$12,$AQ$12,VLOOKUP(AX110,Voorblad!$X$67:$Z$98,2,FALSE)))</f>
        <v>Duitsland</v>
      </c>
      <c r="AX110" s="745" t="str">
        <f t="shared" ca="1" si="32"/>
        <v>A1</v>
      </c>
      <c r="AY110" s="744" t="str">
        <f ca="1">IF(AZ110=$AR$11,$AQ$11,IF(AZ110=$AR$12,$AQ$12,VLOOKUP(AZ110,Voorblad!$X$67:$Z$98,2,FALSE)))</f>
        <v>Duitsland</v>
      </c>
      <c r="AZ110" s="745" t="str">
        <f t="shared" ca="1" si="33"/>
        <v>A1</v>
      </c>
      <c r="BA110" s="747">
        <f t="shared" si="34"/>
        <v>8</v>
      </c>
    </row>
    <row r="111" spans="28:53" x14ac:dyDescent="0.25">
      <c r="AB111" s="759" t="str">
        <f>$AB$85</f>
        <v>nr.</v>
      </c>
      <c r="AC111" s="1337" t="s">
        <v>988</v>
      </c>
      <c r="AD111" s="1337"/>
      <c r="AE111" s="1337"/>
      <c r="AF111" s="1337"/>
      <c r="AG111" s="1337" t="s">
        <v>990</v>
      </c>
      <c r="AH111" s="1337"/>
      <c r="AI111" s="1337"/>
      <c r="AJ111" s="1337"/>
      <c r="AK111" s="1337" t="s">
        <v>991</v>
      </c>
      <c r="AL111" s="1337"/>
      <c r="AM111" s="1338" t="s">
        <v>992</v>
      </c>
      <c r="AN111" s="1338"/>
      <c r="AO111" s="1338"/>
      <c r="AP111" s="266"/>
      <c r="AQ111" s="763" t="str">
        <f ca="1">IF(AR111=$AR$11,$AQ$11,IF(AR111=$AR$12,$AQ$12,VLOOKUP(AR111,Voorblad!$X$67:$Z$98,2,FALSE)))</f>
        <v>Engeland</v>
      </c>
      <c r="AR111" s="764" t="str">
        <f t="shared" ca="1" si="29"/>
        <v>C4</v>
      </c>
      <c r="AS111" s="739" t="str">
        <f ca="1">IF(AT111=$AR$11,$AQ$11,IF(AT111=$AR$12,$AQ$12,VLOOKUP(AT111,Voorblad!$X$67:$Z$98,2,FALSE)))</f>
        <v>Engeland</v>
      </c>
      <c r="AT111" s="740" t="str">
        <f t="shared" ca="1" si="30"/>
        <v>C4</v>
      </c>
      <c r="AU111" s="739" t="str">
        <f ca="1">IF(AV111=$AR$11,$AQ$11,IF(AV111=$AR$12,$AQ$12,VLOOKUP(AV111,Voorblad!$X$67:$Z$98,2,FALSE)))</f>
        <v>Engeland</v>
      </c>
      <c r="AV111" s="740" t="str">
        <f t="shared" ca="1" si="31"/>
        <v>C4</v>
      </c>
      <c r="AW111" s="744" t="str">
        <f ca="1">IF(AX111=$AR$11,$AQ$11,IF(AX111=$AR$12,$AQ$12,VLOOKUP(AX111,Voorblad!$X$67:$Z$98,2,FALSE)))</f>
        <v>Engeland</v>
      </c>
      <c r="AX111" s="745" t="str">
        <f t="shared" ca="1" si="32"/>
        <v>C4</v>
      </c>
      <c r="AY111" s="744" t="str">
        <f ca="1">IF(AZ111=$AR$11,$AQ$11,IF(AZ111=$AR$12,$AQ$12,VLOOKUP(AZ111,Voorblad!$X$67:$Z$98,2,FALSE)))</f>
        <v>Engeland</v>
      </c>
      <c r="AZ111" s="745" t="str">
        <f t="shared" ca="1" si="33"/>
        <v>C4</v>
      </c>
      <c r="BA111" s="747">
        <f t="shared" si="34"/>
        <v>10</v>
      </c>
    </row>
    <row r="112" spans="28:53" x14ac:dyDescent="0.25">
      <c r="AB112" s="756" t="s">
        <v>989</v>
      </c>
      <c r="AC112" s="1352" t="str">
        <f>AG57</f>
        <v/>
      </c>
      <c r="AD112" s="1352"/>
      <c r="AE112" s="1352"/>
      <c r="AF112" s="1352"/>
      <c r="AG112" s="1352"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
      </c>
      <c r="AH112" s="1352"/>
      <c r="AI112" s="1352"/>
      <c r="AJ112" s="1352"/>
      <c r="AK112" s="1352"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B4E1C2A1C4D4F2A3B3B2D2E4D3D1F3E3A2C3C1E2B1F4F1A4????????????????????????????????????????????????????????????????</v>
      </c>
      <c r="AL112" s="1352"/>
      <c r="AM112" s="1358" t="str">
        <f ca="1">IF(AG112="","",IF(LEN(AG112)&gt;=2,VLOOKUP(LEFT(AG112,2),Voorblad!$X$67:$Y$98,2)&amp;IF(LEN(AG112)&gt;=4," / "&amp;VLOOKUP(RIGHT(LEFT(AG112,4),2),Voorblad!$X$67:$Y$98,2),""),""))</f>
        <v/>
      </c>
      <c r="AN112" s="1358"/>
      <c r="AO112" s="1358"/>
      <c r="AP112" s="266"/>
      <c r="AQ112" s="763" t="str">
        <f ca="1">IF(AR112=$AR$11,$AQ$11,IF(AR112=$AR$12,$AQ$12,VLOOKUP(AR112,Voorblad!$X$67:$Z$98,2,FALSE)))</f>
        <v>Frankrijk</v>
      </c>
      <c r="AR112" s="764" t="str">
        <f t="shared" ca="1" si="29"/>
        <v>D4</v>
      </c>
      <c r="AS112" s="739" t="str">
        <f ca="1">IF(AT112=$AR$11,$AQ$11,IF(AT112=$AR$12,$AQ$12,VLOOKUP(AT112,Voorblad!$X$67:$Z$98,2,FALSE)))</f>
        <v>Frankrijk</v>
      </c>
      <c r="AT112" s="740" t="str">
        <f t="shared" ca="1" si="30"/>
        <v>D4</v>
      </c>
      <c r="AU112" s="739" t="str">
        <f ca="1">IF(AV112=$AR$11,$AQ$11,IF(AV112=$AR$12,$AQ$12,VLOOKUP(AV112,Voorblad!$X$67:$Z$98,2,FALSE)))</f>
        <v>Frankrijk</v>
      </c>
      <c r="AV112" s="740" t="str">
        <f t="shared" ca="1" si="31"/>
        <v>D4</v>
      </c>
      <c r="AW112" s="744" t="str">
        <f ca="1">IF(AX112=$AR$11,$AQ$11,IF(AX112=$AR$12,$AQ$12,VLOOKUP(AX112,Voorblad!$X$67:$Z$98,2,FALSE)))</f>
        <v>Frankrijk</v>
      </c>
      <c r="AX112" s="745" t="str">
        <f t="shared" ca="1" si="32"/>
        <v>D4</v>
      </c>
      <c r="AY112" s="744" t="str">
        <f ca="1">IF(AZ112=$AR$11,$AQ$11,IF(AZ112=$AR$12,$AQ$12,VLOOKUP(AZ112,Voorblad!$X$67:$Z$98,2,FALSE)))</f>
        <v>Frankrijk</v>
      </c>
      <c r="AZ112" s="745" t="str">
        <f t="shared" ca="1" si="33"/>
        <v>D4</v>
      </c>
      <c r="BA112" s="747">
        <f t="shared" si="34"/>
        <v>12</v>
      </c>
    </row>
    <row r="113" spans="28:53" x14ac:dyDescent="0.25">
      <c r="AB113" s="266"/>
      <c r="AC113" s="266"/>
      <c r="AD113" s="266"/>
      <c r="AE113" s="266"/>
      <c r="AF113" s="266"/>
      <c r="AG113" s="266"/>
      <c r="AH113" s="266"/>
      <c r="AI113" s="266"/>
      <c r="AJ113" s="266"/>
      <c r="AK113" s="266"/>
      <c r="AL113" s="266"/>
      <c r="AM113" s="266"/>
      <c r="AN113" s="266"/>
      <c r="AO113" s="266"/>
      <c r="AP113" s="266"/>
      <c r="AQ113" s="763" t="str">
        <f ca="1">IF(AR113=$AR$11,$AQ$11,IF(AR113=$AR$12,$AQ$12,VLOOKUP(AR113,Voorblad!$X$67:$Z$98,2,FALSE)))</f>
        <v>Georgië</v>
      </c>
      <c r="AR113" s="764" t="str">
        <f t="shared" ca="1" si="29"/>
        <v>F2</v>
      </c>
      <c r="AS113" s="739" t="str">
        <f ca="1">IF(AT113=$AR$11,$AQ$11,IF(AT113=$AR$12,$AQ$12,VLOOKUP(AT113,Voorblad!$X$67:$Z$98,2,FALSE)))</f>
        <v>Georgië</v>
      </c>
      <c r="AT113" s="740" t="str">
        <f t="shared" ca="1" si="30"/>
        <v>F2</v>
      </c>
      <c r="AU113" s="739" t="str">
        <f ca="1">IF(AV113=$AR$11,$AQ$11,IF(AV113=$AR$12,$AQ$12,VLOOKUP(AV113,Voorblad!$X$67:$Z$98,2,FALSE)))</f>
        <v>Georgië</v>
      </c>
      <c r="AV113" s="740" t="str">
        <f t="shared" ca="1" si="31"/>
        <v>F2</v>
      </c>
      <c r="AW113" s="744" t="str">
        <f ca="1">IF(AX113=$AR$11,$AQ$11,IF(AX113=$AR$12,$AQ$12,VLOOKUP(AX113,Voorblad!$X$67:$Z$98,2,FALSE)))</f>
        <v>Georgië</v>
      </c>
      <c r="AX113" s="745" t="str">
        <f t="shared" ca="1" si="32"/>
        <v>F2</v>
      </c>
      <c r="AY113" s="744" t="str">
        <f ca="1">IF(AZ113=$AR$11,$AQ$11,IF(AZ113=$AR$12,$AQ$12,VLOOKUP(AZ113,Voorblad!$X$67:$Z$98,2,FALSE)))</f>
        <v>Georgië</v>
      </c>
      <c r="AZ113" s="745" t="str">
        <f t="shared" ca="1" si="33"/>
        <v>F2</v>
      </c>
      <c r="BA113" s="747">
        <f t="shared" si="34"/>
        <v>14</v>
      </c>
    </row>
    <row r="114" spans="28:53" x14ac:dyDescent="0.25">
      <c r="AB114" s="817"/>
      <c r="AC114" s="817"/>
      <c r="AD114" s="817"/>
      <c r="AE114" s="817"/>
      <c r="AF114" s="817"/>
      <c r="AG114" s="817"/>
      <c r="AH114" s="817"/>
      <c r="AI114" s="817"/>
      <c r="AJ114" s="817"/>
      <c r="AK114" s="817"/>
      <c r="AL114" s="817"/>
      <c r="AM114" s="817"/>
      <c r="AN114" s="817"/>
      <c r="AO114" s="817"/>
      <c r="AP114" s="817"/>
      <c r="AQ114" s="763" t="str">
        <f ca="1">IF(AR114=$AR$11,$AQ$11,IF(AR114=$AR$12,$AQ$12,VLOOKUP(AR114,Voorblad!$X$67:$Z$98,2,FALSE)))</f>
        <v>Hongarije</v>
      </c>
      <c r="AR114" s="764" t="str">
        <f t="shared" ca="1" si="29"/>
        <v>A3</v>
      </c>
      <c r="AS114" s="739" t="str">
        <f ca="1">IF(AT114=$AR$11,$AQ$11,IF(AT114=$AR$12,$AQ$12,VLOOKUP(AT114,Voorblad!$X$67:$Z$98,2,FALSE)))</f>
        <v>Hongarije</v>
      </c>
      <c r="AT114" s="740" t="str">
        <f t="shared" ca="1" si="30"/>
        <v>A3</v>
      </c>
      <c r="AU114" s="739" t="str">
        <f ca="1">IF(AV114=$AR$11,$AQ$11,IF(AV114=$AR$12,$AQ$12,VLOOKUP(AV114,Voorblad!$X$67:$Z$98,2,FALSE)))</f>
        <v>Hongarije</v>
      </c>
      <c r="AV114" s="740" t="str">
        <f t="shared" ca="1" si="31"/>
        <v>A3</v>
      </c>
      <c r="AW114" s="744" t="str">
        <f ca="1">IF(AX114=$AR$11,$AQ$11,IF(AX114=$AR$12,$AQ$12,VLOOKUP(AX114,Voorblad!$X$67:$Z$98,2,FALSE)))</f>
        <v>Hongarije</v>
      </c>
      <c r="AX114" s="745" t="str">
        <f t="shared" ca="1" si="32"/>
        <v>A3</v>
      </c>
      <c r="AY114" s="744" t="str">
        <f ca="1">IF(AZ114=$AR$11,$AQ$11,IF(AZ114=$AR$12,$AQ$12,VLOOKUP(AZ114,Voorblad!$X$67:$Z$98,2,FALSE)))</f>
        <v>Hongarije</v>
      </c>
      <c r="AZ114" s="745" t="str">
        <f t="shared" ca="1" si="33"/>
        <v>A3</v>
      </c>
      <c r="BA114" s="747">
        <f t="shared" si="34"/>
        <v>16</v>
      </c>
    </row>
    <row r="115" spans="28:53" x14ac:dyDescent="0.25">
      <c r="AB115" s="1302" t="s">
        <v>478</v>
      </c>
      <c r="AC115" s="1302"/>
      <c r="AD115" s="1302"/>
      <c r="AE115" s="1302"/>
      <c r="AF115" s="1302"/>
      <c r="AG115" s="1302"/>
      <c r="AH115" s="1302"/>
      <c r="AI115" s="1302"/>
      <c r="AJ115" s="1302"/>
      <c r="AK115" s="1302"/>
      <c r="AL115" s="1302"/>
      <c r="AM115" s="1302"/>
      <c r="AN115" s="1302"/>
      <c r="AO115" s="1302"/>
      <c r="AP115" s="1302"/>
      <c r="AQ115" s="763" t="str">
        <f ca="1">IF(AR115=$AR$11,$AQ$11,IF(AR115=$AR$12,$AQ$12,VLOOKUP(AR115,Voorblad!$X$67:$Z$98,2,FALSE)))</f>
        <v>Italië</v>
      </c>
      <c r="AR115" s="764" t="str">
        <f t="shared" ca="1" si="29"/>
        <v>B3</v>
      </c>
      <c r="AS115" s="739" t="str">
        <f ca="1">IF(AT115=$AR$11,$AQ$11,IF(AT115=$AR$12,$AQ$12,VLOOKUP(AT115,Voorblad!$X$67:$Z$98,2,FALSE)))</f>
        <v>Italië</v>
      </c>
      <c r="AT115" s="740" t="str">
        <f t="shared" ca="1" si="30"/>
        <v>B3</v>
      </c>
      <c r="AU115" s="739" t="str">
        <f ca="1">IF(AV115=$AR$11,$AQ$11,IF(AV115=$AR$12,$AQ$12,VLOOKUP(AV115,Voorblad!$X$67:$Z$98,2,FALSE)))</f>
        <v>Italië</v>
      </c>
      <c r="AV115" s="740" t="str">
        <f t="shared" ca="1" si="31"/>
        <v>B3</v>
      </c>
      <c r="AW115" s="744" t="str">
        <f ca="1">IF(AX115=$AR$11,$AQ$11,IF(AX115=$AR$12,$AQ$12,VLOOKUP(AX115,Voorblad!$X$67:$Z$98,2,FALSE)))</f>
        <v>Italië</v>
      </c>
      <c r="AX115" s="745" t="str">
        <f t="shared" ca="1" si="32"/>
        <v>B3</v>
      </c>
      <c r="AY115" s="744" t="str">
        <f ca="1">IF(AZ115=$AR$11,$AQ$11,IF(AZ115=$AR$12,$AQ$12,VLOOKUP(AZ115,Voorblad!$X$67:$Z$98,2,FALSE)))</f>
        <v>Italië</v>
      </c>
      <c r="AZ115" s="745" t="str">
        <f t="shared" ca="1" si="33"/>
        <v>B3</v>
      </c>
      <c r="BA115" s="747">
        <f t="shared" si="34"/>
        <v>18</v>
      </c>
    </row>
    <row r="116" spans="28:53" x14ac:dyDescent="0.25">
      <c r="AB116" s="1302"/>
      <c r="AC116" s="1302"/>
      <c r="AD116" s="1302"/>
      <c r="AE116" s="1302"/>
      <c r="AF116" s="1302"/>
      <c r="AG116" s="1302"/>
      <c r="AH116" s="1302"/>
      <c r="AI116" s="1302"/>
      <c r="AJ116" s="1302"/>
      <c r="AK116" s="1302"/>
      <c r="AL116" s="1302"/>
      <c r="AM116" s="1302"/>
      <c r="AN116" s="1302"/>
      <c r="AO116" s="1302"/>
      <c r="AP116" s="1302"/>
      <c r="AQ116" s="763" t="str">
        <f ca="1">IF(AR116=$AR$11,$AQ$11,IF(AR116=$AR$12,$AQ$12,VLOOKUP(AR116,Voorblad!$X$67:$Z$98,2,FALSE)))</f>
        <v>Kroatië</v>
      </c>
      <c r="AR116" s="764" t="str">
        <f t="shared" ca="1" si="29"/>
        <v>B2</v>
      </c>
      <c r="AS116" s="739" t="str">
        <f ca="1">IF(AT116=$AR$11,$AQ$11,IF(AT116=$AR$12,$AQ$12,VLOOKUP(AT116,Voorblad!$X$67:$Z$98,2,FALSE)))</f>
        <v>Kroatië</v>
      </c>
      <c r="AT116" s="740" t="str">
        <f t="shared" ca="1" si="30"/>
        <v>B2</v>
      </c>
      <c r="AU116" s="739" t="str">
        <f ca="1">IF(AV116=$AR$11,$AQ$11,IF(AV116=$AR$12,$AQ$12,VLOOKUP(AV116,Voorblad!$X$67:$Z$98,2,FALSE)))</f>
        <v>Kroatië</v>
      </c>
      <c r="AV116" s="740" t="str">
        <f t="shared" ca="1" si="31"/>
        <v>B2</v>
      </c>
      <c r="AW116" s="744" t="str">
        <f ca="1">IF(AX116=$AR$11,$AQ$11,IF(AX116=$AR$12,$AQ$12,VLOOKUP(AX116,Voorblad!$X$67:$Z$98,2,FALSE)))</f>
        <v>Kroatië</v>
      </c>
      <c r="AX116" s="745" t="str">
        <f t="shared" ca="1" si="32"/>
        <v>B2</v>
      </c>
      <c r="AY116" s="744" t="str">
        <f ca="1">IF(AZ116=$AR$11,$AQ$11,IF(AZ116=$AR$12,$AQ$12,VLOOKUP(AZ116,Voorblad!$X$67:$Z$98,2,FALSE)))</f>
        <v>Kroatië</v>
      </c>
      <c r="AZ116" s="745" t="str">
        <f t="shared" ca="1" si="33"/>
        <v>B2</v>
      </c>
      <c r="BA116" s="747">
        <f t="shared" si="34"/>
        <v>20</v>
      </c>
    </row>
    <row r="117" spans="28:53" x14ac:dyDescent="0.25">
      <c r="AB117" s="528" t="s">
        <v>65</v>
      </c>
      <c r="AC117" s="529" t="str">
        <f>Taal04!$C$129</f>
        <v>Net zoals tijdens EURO 2020 weten België, Duitsland, Engeland, Frankrijk, Italië, Nederland, Portugal en Spanje allen de achtste finales te bereiken.</v>
      </c>
      <c r="AD117" s="530"/>
      <c r="AE117" s="530"/>
      <c r="AF117" s="530"/>
      <c r="AG117" s="530"/>
      <c r="AH117" s="530"/>
      <c r="AI117" s="530"/>
      <c r="AJ117" s="530"/>
      <c r="AK117" s="530"/>
      <c r="AL117" s="530"/>
      <c r="AM117" s="530"/>
      <c r="AN117" s="530"/>
      <c r="AO117" s="530"/>
      <c r="AP117" s="530"/>
      <c r="AQ117" s="763" t="str">
        <f ca="1">IF(AR117=$AR$11,$AQ$11,IF(AR117=$AR$12,$AQ$12,VLOOKUP(AR117,Voorblad!$X$67:$Z$98,2,FALSE)))</f>
        <v>Nederland</v>
      </c>
      <c r="AR117" s="764" t="str">
        <f t="shared" ca="1" si="29"/>
        <v>D2</v>
      </c>
      <c r="AS117" s="739" t="str">
        <f ca="1">IF(AT117=$AR$11,$AQ$11,IF(AT117=$AR$12,$AQ$12,VLOOKUP(AT117,Voorblad!$X$67:$Z$98,2,FALSE)))</f>
        <v>Nederland</v>
      </c>
      <c r="AT117" s="740" t="str">
        <f t="shared" ca="1" si="30"/>
        <v>D2</v>
      </c>
      <c r="AU117" s="739" t="str">
        <f ca="1">IF(AV117=$AR$11,$AQ$11,IF(AV117=$AR$12,$AQ$12,VLOOKUP(AV117,Voorblad!$X$67:$Z$98,2,FALSE)))</f>
        <v>Nederland</v>
      </c>
      <c r="AV117" s="740" t="str">
        <f t="shared" ca="1" si="31"/>
        <v>D2</v>
      </c>
      <c r="AW117" s="744" t="str">
        <f ca="1">IF(AX117=$AR$11,$AQ$11,IF(AX117=$AR$12,$AQ$12,VLOOKUP(AX117,Voorblad!$X$67:$Z$98,2,FALSE)))</f>
        <v>Nederland</v>
      </c>
      <c r="AX117" s="745" t="str">
        <f t="shared" ca="1" si="32"/>
        <v>D2</v>
      </c>
      <c r="AY117" s="744" t="str">
        <f ca="1">IF(AZ117=$AR$11,$AQ$11,IF(AZ117=$AR$12,$AQ$12,VLOOKUP(AZ117,Voorblad!$X$67:$Z$98,2,FALSE)))</f>
        <v>Nederland</v>
      </c>
      <c r="AZ117" s="745" t="str">
        <f t="shared" ca="1" si="33"/>
        <v>D2</v>
      </c>
      <c r="BA117" s="747">
        <f t="shared" si="34"/>
        <v>22</v>
      </c>
    </row>
    <row r="118" spans="28:53" x14ac:dyDescent="0.25">
      <c r="AB118" s="454"/>
      <c r="AC118" s="531" t="s">
        <v>1127</v>
      </c>
      <c r="AD118" s="531"/>
      <c r="AE118" s="531"/>
      <c r="AF118" s="810" t="s">
        <v>412</v>
      </c>
      <c r="AG118" s="531"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18" s="454"/>
      <c r="AI118" s="454"/>
      <c r="AJ118" s="454"/>
      <c r="AK118" s="454"/>
      <c r="AL118" s="454"/>
      <c r="AM118" s="454"/>
      <c r="AN118" s="454"/>
      <c r="AO118" s="454"/>
      <c r="AP118" s="454"/>
      <c r="AQ118" s="763" t="str">
        <f ca="1">IF(AR118=$AR$11,$AQ$11,IF(AR118=$AR$12,$AQ$12,VLOOKUP(AR118,Voorblad!$X$67:$Z$98,2,FALSE)))</f>
        <v>Oekraïne</v>
      </c>
      <c r="AR118" s="764" t="str">
        <f t="shared" ca="1" si="29"/>
        <v>E4</v>
      </c>
      <c r="AS118" s="739" t="str">
        <f ca="1">IF(AT118=$AR$11,$AQ$11,IF(AT118=$AR$12,$AQ$12,VLOOKUP(AT118,Voorblad!$X$67:$Z$98,2,FALSE)))</f>
        <v>Oekraïne</v>
      </c>
      <c r="AT118" s="740" t="str">
        <f t="shared" ca="1" si="30"/>
        <v>E4</v>
      </c>
      <c r="AU118" s="739" t="str">
        <f ca="1">IF(AV118=$AR$11,$AQ$11,IF(AV118=$AR$12,$AQ$12,VLOOKUP(AV118,Voorblad!$X$67:$Z$98,2,FALSE)))</f>
        <v>Oekraïne</v>
      </c>
      <c r="AV118" s="740" t="str">
        <f t="shared" ca="1" si="31"/>
        <v>E4</v>
      </c>
      <c r="AW118" s="744" t="str">
        <f ca="1">IF(AX118=$AR$11,$AQ$11,IF(AX118=$AR$12,$AQ$12,VLOOKUP(AX118,Voorblad!$X$67:$Z$98,2,FALSE)))</f>
        <v>Oekraïne</v>
      </c>
      <c r="AX118" s="745" t="str">
        <f t="shared" ca="1" si="32"/>
        <v>E4</v>
      </c>
      <c r="AY118" s="744" t="str">
        <f ca="1">IF(AZ118=$AR$11,$AQ$11,IF(AZ118=$AR$12,$AQ$12,VLOOKUP(AZ118,Voorblad!$X$67:$Z$98,2,FALSE)))</f>
        <v>Oekraïne</v>
      </c>
      <c r="AZ118" s="745" t="str">
        <f t="shared" ca="1" si="33"/>
        <v>E4</v>
      </c>
      <c r="BA118" s="747">
        <f t="shared" si="34"/>
        <v>24</v>
      </c>
    </row>
    <row r="119" spans="28:53" x14ac:dyDescent="0.25">
      <c r="AB119" s="454"/>
      <c r="AC119" s="531" t="s">
        <v>1128</v>
      </c>
      <c r="AD119" s="531"/>
      <c r="AE119" s="531"/>
      <c r="AF119" s="810" t="s">
        <v>412</v>
      </c>
      <c r="AG119" s="454" t="str">
        <f>IF(SUBSTITUTE(SUBSTITUTE($AG$118,"LEEG","##"),"ONGELDIG","$$")=$AG$118,"JA","NEE")</f>
        <v>NEE</v>
      </c>
      <c r="AH119" s="454"/>
      <c r="AI119" s="454"/>
      <c r="AJ119" s="454"/>
      <c r="AK119" s="454"/>
      <c r="AL119" s="454"/>
      <c r="AM119" s="454"/>
      <c r="AN119" s="454"/>
      <c r="AO119" s="454"/>
      <c r="AP119" s="454"/>
      <c r="AQ119" s="763" t="str">
        <f ca="1">IF(AR119=$AR$11,$AQ$11,IF(AR119=$AR$12,$AQ$12,VLOOKUP(AR119,Voorblad!$X$67:$Z$98,2,FALSE)))</f>
        <v>Oostenrijk</v>
      </c>
      <c r="AR119" s="764" t="str">
        <f t="shared" ca="1" si="29"/>
        <v>D3</v>
      </c>
      <c r="AS119" s="739" t="str">
        <f ca="1">IF(AT119=$AR$11,$AQ$11,IF(AT119=$AR$12,$AQ$12,VLOOKUP(AT119,Voorblad!$X$67:$Z$98,2,FALSE)))</f>
        <v>Oostenrijk</v>
      </c>
      <c r="AT119" s="740" t="str">
        <f t="shared" ca="1" si="30"/>
        <v>D3</v>
      </c>
      <c r="AU119" s="739" t="str">
        <f ca="1">IF(AV119=$AR$11,$AQ$11,IF(AV119=$AR$12,$AQ$12,VLOOKUP(AV119,Voorblad!$X$67:$Z$98,2,FALSE)))</f>
        <v>Oostenrijk</v>
      </c>
      <c r="AV119" s="740" t="str">
        <f t="shared" ca="1" si="31"/>
        <v>D3</v>
      </c>
      <c r="AW119" s="744" t="str">
        <f ca="1">IF(AX119=$AR$11,$AQ$11,IF(AX119=$AR$12,$AQ$12,VLOOKUP(AX119,Voorblad!$X$67:$Z$98,2,FALSE)))</f>
        <v>Oostenrijk</v>
      </c>
      <c r="AX119" s="745" t="str">
        <f t="shared" ca="1" si="32"/>
        <v>D3</v>
      </c>
      <c r="AY119" s="744" t="str">
        <f ca="1">IF(AZ119=$AR$11,$AQ$11,IF(AZ119=$AR$12,$AQ$12,VLOOKUP(AZ119,Voorblad!$X$67:$Z$98,2,FALSE)))</f>
        <v>Oostenrijk</v>
      </c>
      <c r="AZ119" s="745" t="str">
        <f t="shared" ca="1" si="33"/>
        <v>D3</v>
      </c>
      <c r="BA119" s="747">
        <f t="shared" si="34"/>
        <v>26</v>
      </c>
    </row>
    <row r="120" spans="28:53" x14ac:dyDescent="0.25">
      <c r="AB120" s="454"/>
      <c r="AC120" s="531" t="s">
        <v>1971</v>
      </c>
      <c r="AD120" s="454" t="s">
        <v>67</v>
      </c>
      <c r="AE120" s="454" t="str">
        <f>Voorblad!$Z$83</f>
        <v>BE</v>
      </c>
      <c r="AF120" s="810" t="s">
        <v>412</v>
      </c>
      <c r="AG120" s="454" t="str">
        <f t="shared" ref="AG120:AG127" si="35">IF(SUBSTITUTE($AG$118,AE120,"##")=$AG$118,"NEE","JA")</f>
        <v>NEE</v>
      </c>
      <c r="AH120" s="454"/>
      <c r="AI120" s="454"/>
      <c r="AJ120" s="454"/>
      <c r="AK120" s="454"/>
      <c r="AL120" s="454"/>
      <c r="AM120" s="454"/>
      <c r="AN120" s="454"/>
      <c r="AO120" s="535" t="s">
        <v>1979</v>
      </c>
      <c r="AP120" s="536" t="str">
        <f>AG119</f>
        <v>NEE</v>
      </c>
      <c r="AQ120" s="763" t="str">
        <f ca="1">IF(AR120=$AR$11,$AQ$11,IF(AR120=$AR$12,$AQ$12,VLOOKUP(AR120,Voorblad!$X$67:$Z$98,2,FALSE)))</f>
        <v>Polen</v>
      </c>
      <c r="AR120" s="764" t="str">
        <f t="shared" ca="1" si="29"/>
        <v>D1</v>
      </c>
      <c r="AS120" s="739" t="str">
        <f ca="1">IF(AT120=$AR$11,$AQ$11,IF(AT120=$AR$12,$AQ$12,VLOOKUP(AT120,Voorblad!$X$67:$Z$98,2,FALSE)))</f>
        <v>Polen</v>
      </c>
      <c r="AT120" s="740" t="str">
        <f t="shared" ca="1" si="30"/>
        <v>D1</v>
      </c>
      <c r="AU120" s="739" t="str">
        <f ca="1">IF(AV120=$AR$11,$AQ$11,IF(AV120=$AR$12,$AQ$12,VLOOKUP(AV120,Voorblad!$X$67:$Z$98,2,FALSE)))</f>
        <v>Polen</v>
      </c>
      <c r="AV120" s="740" t="str">
        <f t="shared" ca="1" si="31"/>
        <v>D1</v>
      </c>
      <c r="AW120" s="744" t="str">
        <f ca="1">IF(AX120=$AR$11,$AQ$11,IF(AX120=$AR$12,$AQ$12,VLOOKUP(AX120,Voorblad!$X$67:$Z$98,2,FALSE)))</f>
        <v>Polen</v>
      </c>
      <c r="AX120" s="745" t="str">
        <f t="shared" ca="1" si="32"/>
        <v>D1</v>
      </c>
      <c r="AY120" s="744" t="str">
        <f ca="1">IF(AZ120=$AR$11,$AQ$11,IF(AZ120=$AR$12,$AQ$12,VLOOKUP(AZ120,Voorblad!$X$67:$Z$98,2,FALSE)))</f>
        <v>Polen</v>
      </c>
      <c r="AZ120" s="745" t="str">
        <f t="shared" ca="1" si="33"/>
        <v>D1</v>
      </c>
      <c r="BA120" s="747">
        <f t="shared" si="34"/>
        <v>28</v>
      </c>
    </row>
    <row r="121" spans="28:53" ht="15" customHeight="1" x14ac:dyDescent="0.25">
      <c r="AB121" s="454"/>
      <c r="AC121" s="531" t="s">
        <v>1972</v>
      </c>
      <c r="AD121" s="454" t="s">
        <v>67</v>
      </c>
      <c r="AE121" s="454" t="str">
        <f>Voorblad!$Z$67</f>
        <v>DE</v>
      </c>
      <c r="AF121" s="810" t="s">
        <v>412</v>
      </c>
      <c r="AG121" s="454" t="str">
        <f t="shared" si="35"/>
        <v>NEE</v>
      </c>
      <c r="AH121" s="454"/>
      <c r="AI121" s="454"/>
      <c r="AJ121" s="454"/>
      <c r="AK121" s="454"/>
      <c r="AL121" s="454"/>
      <c r="AM121" s="454"/>
      <c r="AN121" s="454"/>
      <c r="AO121" s="535" t="s">
        <v>520</v>
      </c>
      <c r="AP121" s="536">
        <f>COUNTIF(AG120:AG127,"JA")</f>
        <v>0</v>
      </c>
      <c r="AQ121" s="763" t="str">
        <f ca="1">IF(AR121=$AR$11,$AQ$11,IF(AR121=$AR$12,$AQ$12,VLOOKUP(AR121,Voorblad!$X$67:$Z$98,2,FALSE)))</f>
        <v>Portugal</v>
      </c>
      <c r="AR121" s="764" t="str">
        <f t="shared" ca="1" si="29"/>
        <v>F3</v>
      </c>
      <c r="AS121" s="739" t="str">
        <f ca="1">IF(AT121=$AR$11,$AQ$11,IF(AT121=$AR$12,$AQ$12,VLOOKUP(AT121,Voorblad!$X$67:$Z$98,2,FALSE)))</f>
        <v>Portugal</v>
      </c>
      <c r="AT121" s="740" t="str">
        <f t="shared" ca="1" si="30"/>
        <v>F3</v>
      </c>
      <c r="AU121" s="739" t="str">
        <f ca="1">IF(AV121=$AR$11,$AQ$11,IF(AV121=$AR$12,$AQ$12,VLOOKUP(AV121,Voorblad!$X$67:$Z$98,2,FALSE)))</f>
        <v>Portugal</v>
      </c>
      <c r="AV121" s="740" t="str">
        <f t="shared" ca="1" si="31"/>
        <v>F3</v>
      </c>
      <c r="AW121" s="744" t="str">
        <f ca="1">IF(AX121=$AR$11,$AQ$11,IF(AX121=$AR$12,$AQ$12,VLOOKUP(AX121,Voorblad!$X$67:$Z$98,2,FALSE)))</f>
        <v>Portugal</v>
      </c>
      <c r="AX121" s="745" t="str">
        <f t="shared" ca="1" si="32"/>
        <v>F3</v>
      </c>
      <c r="AY121" s="744" t="str">
        <f ca="1">IF(AZ121=$AR$11,$AQ$11,IF(AZ121=$AR$12,$AQ$12,VLOOKUP(AZ121,Voorblad!$X$67:$Z$98,2,FALSE)))</f>
        <v>Portugal</v>
      </c>
      <c r="AZ121" s="745" t="str">
        <f t="shared" ca="1" si="33"/>
        <v>F3</v>
      </c>
      <c r="BA121" s="747">
        <f t="shared" si="34"/>
        <v>30</v>
      </c>
    </row>
    <row r="122" spans="28:53" x14ac:dyDescent="0.25">
      <c r="AB122" s="454"/>
      <c r="AC122" s="531" t="s">
        <v>1973</v>
      </c>
      <c r="AD122" s="454" t="s">
        <v>67</v>
      </c>
      <c r="AE122" s="454" t="str">
        <f>Voorblad!$Z$78</f>
        <v>GB</v>
      </c>
      <c r="AF122" s="810" t="s">
        <v>412</v>
      </c>
      <c r="AG122" s="454" t="str">
        <f t="shared" si="35"/>
        <v>NEE</v>
      </c>
      <c r="AH122" s="454"/>
      <c r="AI122" s="454"/>
      <c r="AJ122" s="454"/>
      <c r="AK122" s="454"/>
      <c r="AL122" s="454"/>
      <c r="AM122" s="454"/>
      <c r="AN122" s="454"/>
      <c r="AO122" s="535" t="s">
        <v>1129</v>
      </c>
      <c r="AP122" s="536">
        <v>8</v>
      </c>
      <c r="AQ122" s="763" t="str">
        <f ca="1">IF(AR122=$AR$11,$AQ$11,IF(AR122=$AR$12,$AQ$12,VLOOKUP(AR122,Voorblad!$X$67:$Z$98,2,FALSE)))</f>
        <v>Roemenië</v>
      </c>
      <c r="AR122" s="764" t="str">
        <f t="shared" ca="1" si="29"/>
        <v>E3</v>
      </c>
      <c r="AS122" s="739" t="str">
        <f ca="1">IF(AT122=$AR$11,$AQ$11,IF(AT122=$AR$12,$AQ$12,VLOOKUP(AT122,Voorblad!$X$67:$Z$98,2,FALSE)))</f>
        <v>Roemenië</v>
      </c>
      <c r="AT122" s="740" t="str">
        <f t="shared" ca="1" si="30"/>
        <v>E3</v>
      </c>
      <c r="AU122" s="739" t="str">
        <f ca="1">IF(AV122=$AR$11,$AQ$11,IF(AV122=$AR$12,$AQ$12,VLOOKUP(AV122,Voorblad!$X$67:$Z$98,2,FALSE)))</f>
        <v>Roemenië</v>
      </c>
      <c r="AV122" s="740" t="str">
        <f t="shared" ca="1" si="31"/>
        <v>E3</v>
      </c>
      <c r="AW122" s="744" t="str">
        <f ca="1">IF(AX122=$AR$11,$AQ$11,IF(AX122=$AR$12,$AQ$12,VLOOKUP(AX122,Voorblad!$X$67:$Z$98,2,FALSE)))</f>
        <v>Roemenië</v>
      </c>
      <c r="AX122" s="745" t="str">
        <f t="shared" ca="1" si="32"/>
        <v>E3</v>
      </c>
      <c r="AY122" s="744" t="str">
        <f ca="1">IF(AZ122=$AR$11,$AQ$11,IF(AZ122=$AR$12,$AQ$12,VLOOKUP(AZ122,Voorblad!$X$67:$Z$98,2,FALSE)))</f>
        <v>Roemenië</v>
      </c>
      <c r="AZ122" s="745" t="str">
        <f t="shared" ca="1" si="33"/>
        <v>E3</v>
      </c>
      <c r="BA122" s="747">
        <f t="shared" si="34"/>
        <v>32</v>
      </c>
    </row>
    <row r="123" spans="28:53" x14ac:dyDescent="0.25">
      <c r="AB123" s="454"/>
      <c r="AC123" s="531" t="s">
        <v>1974</v>
      </c>
      <c r="AD123" s="454" t="s">
        <v>67</v>
      </c>
      <c r="AE123" s="454" t="str">
        <f>Voorblad!$Z$82</f>
        <v>FR</v>
      </c>
      <c r="AF123" s="810" t="s">
        <v>412</v>
      </c>
      <c r="AG123" s="454" t="str">
        <f t="shared" si="35"/>
        <v>NEE</v>
      </c>
      <c r="AH123" s="454"/>
      <c r="AI123" s="454"/>
      <c r="AJ123" s="454"/>
      <c r="AK123" s="454"/>
      <c r="AL123" s="454"/>
      <c r="AM123" s="454"/>
      <c r="AN123" s="454"/>
      <c r="AO123" s="535" t="s">
        <v>521</v>
      </c>
      <c r="AP123" s="536">
        <f>COUNTIF(AG120:AG127,"NEE")</f>
        <v>8</v>
      </c>
      <c r="AQ123" s="763" t="str">
        <f ca="1">IF(AR123=$AR$11,$AQ$11,IF(AR123=$AR$12,$AQ$12,VLOOKUP(AR123,Voorblad!$X$67:$Z$98,2,FALSE)))</f>
        <v>Schotland</v>
      </c>
      <c r="AR123" s="764" t="str">
        <f t="shared" ca="1" si="29"/>
        <v>A2</v>
      </c>
      <c r="AS123" s="739" t="str">
        <f ca="1">IF(AT123=$AR$11,$AQ$11,IF(AT123=$AR$12,$AQ$12,VLOOKUP(AT123,Voorblad!$X$67:$Z$98,2,FALSE)))</f>
        <v>Schotland</v>
      </c>
      <c r="AT123" s="740" t="str">
        <f t="shared" ca="1" si="30"/>
        <v>A2</v>
      </c>
      <c r="AU123" s="739" t="str">
        <f ca="1">IF(AV123=$AR$11,$AQ$11,IF(AV123=$AR$12,$AQ$12,VLOOKUP(AV123,Voorblad!$X$67:$Z$98,2,FALSE)))</f>
        <v>Schotland</v>
      </c>
      <c r="AV123" s="740" t="str">
        <f t="shared" ca="1" si="31"/>
        <v>A2</v>
      </c>
      <c r="AW123" s="744" t="str">
        <f ca="1">IF(AX123=$AR$11,$AQ$11,IF(AX123=$AR$12,$AQ$12,VLOOKUP(AX123,Voorblad!$X$67:$Z$98,2,FALSE)))</f>
        <v>Schotland</v>
      </c>
      <c r="AX123" s="745" t="str">
        <f t="shared" ca="1" si="32"/>
        <v>A2</v>
      </c>
      <c r="AY123" s="744" t="str">
        <f ca="1">IF(AZ123=$AR$11,$AQ$11,IF(AZ123=$AR$12,$AQ$12,VLOOKUP(AZ123,Voorblad!$X$67:$Z$98,2,FALSE)))</f>
        <v>Schotland</v>
      </c>
      <c r="AZ123" s="745" t="str">
        <f t="shared" ca="1" si="33"/>
        <v>A2</v>
      </c>
      <c r="BA123" s="747">
        <f t="shared" si="34"/>
        <v>34</v>
      </c>
    </row>
    <row r="124" spans="28:53" x14ac:dyDescent="0.25">
      <c r="AB124" s="454"/>
      <c r="AC124" s="531" t="s">
        <v>1975</v>
      </c>
      <c r="AD124" s="454" t="s">
        <v>67</v>
      </c>
      <c r="AE124" s="454" t="str">
        <f>Voorblad!$Z$73</f>
        <v>IT</v>
      </c>
      <c r="AF124" s="810" t="s">
        <v>412</v>
      </c>
      <c r="AG124" s="454" t="str">
        <f t="shared" si="35"/>
        <v>NEE</v>
      </c>
      <c r="AH124" s="454"/>
      <c r="AI124" s="454"/>
      <c r="AJ124" s="454"/>
      <c r="AK124" s="454"/>
      <c r="AL124" s="454"/>
      <c r="AM124" s="454"/>
      <c r="AN124" s="810" t="s">
        <v>412</v>
      </c>
      <c r="AO124" s="534" t="str">
        <f>IF(AP121&gt;=AP122,"JA",IF(AP120="NEE","onvoldoende gegevens","NEE"))</f>
        <v>onvoldoende gegevens</v>
      </c>
      <c r="AP124" s="811"/>
      <c r="AQ124" s="763" t="str">
        <f ca="1">IF(AR124=$AR$11,$AQ$11,IF(AR124=$AR$12,$AQ$12,VLOOKUP(AR124,Voorblad!$X$67:$Z$98,2,FALSE)))</f>
        <v>Servië</v>
      </c>
      <c r="AR124" s="764" t="str">
        <f t="shared" ca="1" si="29"/>
        <v>C3</v>
      </c>
      <c r="AS124" s="739" t="str">
        <f ca="1">IF(AT124=$AR$11,$AQ$11,IF(AT124=$AR$12,$AQ$12,VLOOKUP(AT124,Voorblad!$X$67:$Z$98,2,FALSE)))</f>
        <v>Servië</v>
      </c>
      <c r="AT124" s="740" t="str">
        <f t="shared" ca="1" si="30"/>
        <v>C3</v>
      </c>
      <c r="AU124" s="739" t="str">
        <f ca="1">IF(AV124=$AR$11,$AQ$11,IF(AV124=$AR$12,$AQ$12,VLOOKUP(AV124,Voorblad!$X$67:$Z$98,2,FALSE)))</f>
        <v>Servië</v>
      </c>
      <c r="AV124" s="740" t="str">
        <f t="shared" ca="1" si="31"/>
        <v>C3</v>
      </c>
      <c r="AW124" s="744" t="str">
        <f ca="1">IF(AX124=$AR$11,$AQ$11,IF(AX124=$AR$12,$AQ$12,VLOOKUP(AX124,Voorblad!$X$67:$Z$98,2,FALSE)))</f>
        <v>Servië</v>
      </c>
      <c r="AX124" s="745" t="str">
        <f t="shared" ca="1" si="32"/>
        <v>C3</v>
      </c>
      <c r="AY124" s="744" t="str">
        <f ca="1">IF(AZ124=$AR$11,$AQ$11,IF(AZ124=$AR$12,$AQ$12,VLOOKUP(AZ124,Voorblad!$X$67:$Z$98,2,FALSE)))</f>
        <v>Servië</v>
      </c>
      <c r="AZ124" s="745" t="str">
        <f t="shared" ca="1" si="33"/>
        <v>C3</v>
      </c>
      <c r="BA124" s="747">
        <f t="shared" si="34"/>
        <v>36</v>
      </c>
    </row>
    <row r="125" spans="28:53" x14ac:dyDescent="0.25">
      <c r="AB125" s="454"/>
      <c r="AC125" s="531" t="s">
        <v>1976</v>
      </c>
      <c r="AD125" s="454" t="s">
        <v>67</v>
      </c>
      <c r="AE125" s="454" t="str">
        <f>Voorblad!$Z$80</f>
        <v>NL</v>
      </c>
      <c r="AF125" s="810" t="s">
        <v>412</v>
      </c>
      <c r="AG125" s="454" t="str">
        <f t="shared" si="35"/>
        <v>NEE</v>
      </c>
      <c r="AH125" s="454"/>
      <c r="AI125" s="454"/>
      <c r="AJ125" s="454"/>
      <c r="AK125" s="454"/>
      <c r="AL125" s="454"/>
      <c r="AM125" s="454"/>
      <c r="AN125" s="399"/>
      <c r="AO125" s="399"/>
      <c r="AP125" s="812"/>
      <c r="AQ125" s="763" t="str">
        <f ca="1">IF(AR125=$AR$11,$AQ$11,IF(AR125=$AR$12,$AQ$12,VLOOKUP(AR125,Voorblad!$X$67:$Z$98,2,FALSE)))</f>
        <v>Slovenië</v>
      </c>
      <c r="AR125" s="764" t="str">
        <f t="shared" ca="1" si="29"/>
        <v>C1</v>
      </c>
      <c r="AS125" s="739" t="str">
        <f ca="1">IF(AT125=$AR$11,$AQ$11,IF(AT125=$AR$12,$AQ$12,VLOOKUP(AT125,Voorblad!$X$67:$Z$98,2,FALSE)))</f>
        <v>Slovenië</v>
      </c>
      <c r="AT125" s="740" t="str">
        <f t="shared" ca="1" si="30"/>
        <v>C1</v>
      </c>
      <c r="AU125" s="739" t="str">
        <f ca="1">IF(AV125=$AR$11,$AQ$11,IF(AV125=$AR$12,$AQ$12,VLOOKUP(AV125,Voorblad!$X$67:$Z$98,2,FALSE)))</f>
        <v>Slovenië</v>
      </c>
      <c r="AV125" s="740" t="str">
        <f t="shared" ca="1" si="31"/>
        <v>C1</v>
      </c>
      <c r="AW125" s="744" t="str">
        <f ca="1">IF(AX125=$AR$11,$AQ$11,IF(AX125=$AR$12,$AQ$12,VLOOKUP(AX125,Voorblad!$X$67:$Z$98,2,FALSE)))</f>
        <v>Slovenië</v>
      </c>
      <c r="AX125" s="745" t="str">
        <f t="shared" ca="1" si="32"/>
        <v>C1</v>
      </c>
      <c r="AY125" s="744" t="str">
        <f ca="1">IF(AZ125=$AR$11,$AQ$11,IF(AZ125=$AR$12,$AQ$12,VLOOKUP(AZ125,Voorblad!$X$67:$Z$98,2,FALSE)))</f>
        <v>Slovenië</v>
      </c>
      <c r="AZ125" s="745" t="str">
        <f t="shared" ca="1" si="33"/>
        <v>C1</v>
      </c>
      <c r="BA125" s="747">
        <f t="shared" si="34"/>
        <v>38</v>
      </c>
    </row>
    <row r="126" spans="28:53" x14ac:dyDescent="0.25">
      <c r="AB126" s="399"/>
      <c r="AC126" s="531" t="s">
        <v>1977</v>
      </c>
      <c r="AD126" s="454" t="s">
        <v>67</v>
      </c>
      <c r="AE126" s="454" t="str">
        <f>Voorblad!$Z$89</f>
        <v>PT</v>
      </c>
      <c r="AF126" s="810" t="s">
        <v>412</v>
      </c>
      <c r="AG126" s="454" t="str">
        <f t="shared" si="35"/>
        <v>NEE</v>
      </c>
      <c r="AH126" s="399"/>
      <c r="AI126" s="399"/>
      <c r="AJ126" s="399"/>
      <c r="AK126" s="399"/>
      <c r="AL126" s="399"/>
      <c r="AM126" s="399"/>
      <c r="AN126" s="399"/>
      <c r="AO126" s="399"/>
      <c r="AP126" s="812"/>
      <c r="AQ126" s="763" t="str">
        <f ca="1">IF(AR126=$AR$11,$AQ$11,IF(AR126=$AR$12,$AQ$12,VLOOKUP(AR126,Voorblad!$X$67:$Z$98,2,FALSE)))</f>
        <v>Slowakije</v>
      </c>
      <c r="AR126" s="764" t="str">
        <f t="shared" ca="1" si="29"/>
        <v>E2</v>
      </c>
      <c r="AS126" s="739" t="str">
        <f ca="1">IF(AT126=$AR$11,$AQ$11,IF(AT126=$AR$12,$AQ$12,VLOOKUP(AT126,Voorblad!$X$67:$Z$98,2,FALSE)))</f>
        <v>Slowakije</v>
      </c>
      <c r="AT126" s="740" t="str">
        <f t="shared" ca="1" si="30"/>
        <v>E2</v>
      </c>
      <c r="AU126" s="739" t="str">
        <f ca="1">IF(AV126=$AR$11,$AQ$11,IF(AV126=$AR$12,$AQ$12,VLOOKUP(AV126,Voorblad!$X$67:$Z$98,2,FALSE)))</f>
        <v>Slowakije</v>
      </c>
      <c r="AV126" s="740" t="str">
        <f t="shared" ca="1" si="31"/>
        <v>E2</v>
      </c>
      <c r="AW126" s="744" t="str">
        <f ca="1">IF(AX126=$AR$11,$AQ$11,IF(AX126=$AR$12,$AQ$12,VLOOKUP(AX126,Voorblad!$X$67:$Z$98,2,FALSE)))</f>
        <v>Slowakije</v>
      </c>
      <c r="AX126" s="745" t="str">
        <f t="shared" ca="1" si="32"/>
        <v>E2</v>
      </c>
      <c r="AY126" s="744" t="str">
        <f ca="1">IF(AZ126=$AR$11,$AQ$11,IF(AZ126=$AR$12,$AQ$12,VLOOKUP(AZ126,Voorblad!$X$67:$Z$98,2,FALSE)))</f>
        <v>Slowakije</v>
      </c>
      <c r="AZ126" s="745" t="str">
        <f t="shared" ca="1" si="33"/>
        <v>E2</v>
      </c>
      <c r="BA126" s="747">
        <f t="shared" si="34"/>
        <v>40</v>
      </c>
    </row>
    <row r="127" spans="28:53" x14ac:dyDescent="0.25">
      <c r="AB127" s="396"/>
      <c r="AC127" s="531" t="s">
        <v>1978</v>
      </c>
      <c r="AD127" s="454" t="s">
        <v>67</v>
      </c>
      <c r="AE127" s="454" t="str">
        <f>Voorblad!$Z$71</f>
        <v>ES</v>
      </c>
      <c r="AF127" s="810" t="s">
        <v>412</v>
      </c>
      <c r="AG127" s="454" t="str">
        <f t="shared" si="35"/>
        <v>NEE</v>
      </c>
      <c r="AH127" s="396"/>
      <c r="AI127" s="396"/>
      <c r="AJ127" s="396"/>
      <c r="AK127" s="396"/>
      <c r="AL127" s="396"/>
      <c r="AM127" s="396"/>
      <c r="AN127" s="396"/>
      <c r="AO127" s="396"/>
      <c r="AP127" s="813"/>
      <c r="AQ127" s="763" t="str">
        <f ca="1">IF(AR127=$AR$11,$AQ$11,IF(AR127=$AR$12,$AQ$12,VLOOKUP(AR127,Voorblad!$X$67:$Z$98,2,FALSE)))</f>
        <v>Spanje</v>
      </c>
      <c r="AR127" s="764" t="str">
        <f t="shared" ca="1" si="29"/>
        <v>B1</v>
      </c>
      <c r="AS127" s="739" t="str">
        <f ca="1">IF(AT127=$AR$11,$AQ$11,IF(AT127=$AR$12,$AQ$12,VLOOKUP(AT127,Voorblad!$X$67:$Z$98,2,FALSE)))</f>
        <v>Spanje</v>
      </c>
      <c r="AT127" s="740" t="str">
        <f t="shared" ca="1" si="30"/>
        <v>B1</v>
      </c>
      <c r="AU127" s="739" t="str">
        <f ca="1">IF(AV127=$AR$11,$AQ$11,IF(AV127=$AR$12,$AQ$12,VLOOKUP(AV127,Voorblad!$X$67:$Z$98,2,FALSE)))</f>
        <v>Spanje</v>
      </c>
      <c r="AV127" s="740" t="str">
        <f t="shared" ca="1" si="31"/>
        <v>B1</v>
      </c>
      <c r="AW127" s="744" t="str">
        <f ca="1">IF(AX127=$AR$11,$AQ$11,IF(AX127=$AR$12,$AQ$12,VLOOKUP(AX127,Voorblad!$X$67:$Z$98,2,FALSE)))</f>
        <v>Spanje</v>
      </c>
      <c r="AX127" s="745" t="str">
        <f t="shared" ca="1" si="32"/>
        <v>B1</v>
      </c>
      <c r="AY127" s="744" t="str">
        <f ca="1">IF(AZ127=$AR$11,$AQ$11,IF(AZ127=$AR$12,$AQ$12,VLOOKUP(AZ127,Voorblad!$X$67:$Z$98,2,FALSE)))</f>
        <v>Spanje</v>
      </c>
      <c r="AZ127" s="745" t="str">
        <f t="shared" ca="1" si="33"/>
        <v>B1</v>
      </c>
      <c r="BA127" s="747">
        <f t="shared" si="34"/>
        <v>42</v>
      </c>
    </row>
    <row r="128" spans="28:53" x14ac:dyDescent="0.25">
      <c r="AB128" s="528" t="s">
        <v>97</v>
      </c>
      <c r="AC128" s="529" t="str">
        <f>Taal04!$C$130</f>
        <v>Van de vier landen die als beste nr. 3 doorgaan naar de achtste finales weet er minimaal één ook de kwartfinales te bereiken.</v>
      </c>
      <c r="AD128" s="530"/>
      <c r="AE128" s="530"/>
      <c r="AF128" s="530"/>
      <c r="AG128" s="530"/>
      <c r="AH128" s="530"/>
      <c r="AI128" s="530"/>
      <c r="AJ128" s="530"/>
      <c r="AK128" s="530"/>
      <c r="AL128" s="530"/>
      <c r="AM128" s="530"/>
      <c r="AN128" s="530"/>
      <c r="AO128" s="530"/>
      <c r="AP128" s="818"/>
      <c r="AQ128" s="763" t="str">
        <f ca="1">IF(AR128=$AR$11,$AQ$11,IF(AR128=$AR$12,$AQ$12,VLOOKUP(AR128,Voorblad!$X$67:$Z$98,2,FALSE)))</f>
        <v>Tsjechië</v>
      </c>
      <c r="AR128" s="764" t="str">
        <f t="shared" ca="1" si="29"/>
        <v>F4</v>
      </c>
      <c r="AS128" s="739" t="str">
        <f ca="1">IF(AT128=$AR$11,$AQ$11,IF(AT128=$AR$12,$AQ$12,VLOOKUP(AT128,Voorblad!$X$67:$Z$98,2,FALSE)))</f>
        <v>Tsjechië</v>
      </c>
      <c r="AT128" s="740" t="str">
        <f t="shared" ca="1" si="30"/>
        <v>F4</v>
      </c>
      <c r="AU128" s="739" t="str">
        <f ca="1">IF(AV128=$AR$11,$AQ$11,IF(AV128=$AR$12,$AQ$12,VLOOKUP(AV128,Voorblad!$X$67:$Z$98,2,FALSE)))</f>
        <v>Tsjechië</v>
      </c>
      <c r="AV128" s="740" t="str">
        <f t="shared" ca="1" si="31"/>
        <v>F4</v>
      </c>
      <c r="AW128" s="744" t="str">
        <f ca="1">IF(AX128=$AR$11,$AQ$11,IF(AX128=$AR$12,$AQ$12,VLOOKUP(AX128,Voorblad!$X$67:$Z$98,2,FALSE)))</f>
        <v>Tsjechië</v>
      </c>
      <c r="AX128" s="745" t="str">
        <f t="shared" ca="1" si="32"/>
        <v>F4</v>
      </c>
      <c r="AY128" s="744" t="str">
        <f ca="1">IF(AZ128=$AR$11,$AQ$11,IF(AZ128=$AR$12,$AQ$12,VLOOKUP(AZ128,Voorblad!$X$67:$Z$98,2,FALSE)))</f>
        <v>Tsjechië</v>
      </c>
      <c r="AZ128" s="745" t="str">
        <f t="shared" ca="1" si="33"/>
        <v>F4</v>
      </c>
      <c r="BA128" s="747">
        <f t="shared" si="34"/>
        <v>44</v>
      </c>
    </row>
    <row r="129" spans="28:53" x14ac:dyDescent="0.25">
      <c r="AB129" s="454"/>
      <c r="AC129" s="531" t="s">
        <v>479</v>
      </c>
      <c r="AD129" s="454"/>
      <c r="AE129" s="454" t="s">
        <v>67</v>
      </c>
      <c r="AF129" s="531" t="str">
        <f>"HUIDIG BLAD"</f>
        <v>HUIDIG BLAD</v>
      </c>
      <c r="AG129" s="531"/>
      <c r="AH129" s="454"/>
      <c r="AI129" s="454"/>
      <c r="AJ129" s="454"/>
      <c r="AK129" s="454"/>
      <c r="AL129" s="454"/>
      <c r="AM129" s="454"/>
      <c r="AN129" s="454"/>
      <c r="AO129" s="535" t="s">
        <v>519</v>
      </c>
      <c r="AP129" s="819">
        <f>COUNTIF(AM130:AM133,"onvoldoende gegevens")</f>
        <v>4</v>
      </c>
      <c r="AQ129" s="763" t="str">
        <f ca="1">IF(AR129=$AR$11,$AQ$11,IF(AR129=$AR$12,$AQ$12,VLOOKUP(AR129,Voorblad!$X$67:$Z$98,2,FALSE)))</f>
        <v>Turkije</v>
      </c>
      <c r="AR129" s="764" t="str">
        <f t="shared" ca="1" si="29"/>
        <v>F1</v>
      </c>
      <c r="AS129" s="739" t="str">
        <f ca="1">IF(AT129=$AR$11,$AQ$11,IF(AT129=$AR$12,$AQ$12,VLOOKUP(AT129,Voorblad!$X$67:$Z$98,2,FALSE)))</f>
        <v>Turkije</v>
      </c>
      <c r="AT129" s="740" t="str">
        <f t="shared" ca="1" si="30"/>
        <v>F1</v>
      </c>
      <c r="AU129" s="739" t="str">
        <f ca="1">IF(AV129=$AR$11,$AQ$11,IF(AV129=$AR$12,$AQ$12,VLOOKUP(AV129,Voorblad!$X$67:$Z$98,2,FALSE)))</f>
        <v>Turkije</v>
      </c>
      <c r="AV129" s="740" t="str">
        <f t="shared" ca="1" si="31"/>
        <v>F1</v>
      </c>
      <c r="AW129" s="744" t="str">
        <f ca="1">IF(AX129=$AR$11,$AQ$11,IF(AX129=$AR$12,$AQ$12,VLOOKUP(AX129,Voorblad!$X$67:$Z$98,2,FALSE)))</f>
        <v>Turkije</v>
      </c>
      <c r="AX129" s="745" t="str">
        <f t="shared" ca="1" si="32"/>
        <v>F1</v>
      </c>
      <c r="AY129" s="744" t="str">
        <f ca="1">IF(AZ129=$AR$11,$AQ$11,IF(AZ129=$AR$12,$AQ$12,VLOOKUP(AZ129,Voorblad!$X$67:$Z$98,2,FALSE)))</f>
        <v>Turkije</v>
      </c>
      <c r="AZ129" s="745" t="str">
        <f t="shared" ca="1" si="33"/>
        <v>F1</v>
      </c>
      <c r="BA129" s="747">
        <f t="shared" si="34"/>
        <v>46</v>
      </c>
    </row>
    <row r="130" spans="28:53" x14ac:dyDescent="0.25">
      <c r="AB130" s="454"/>
      <c r="AC130" s="531" t="s">
        <v>2540</v>
      </c>
      <c r="AD130" s="454"/>
      <c r="AE130" s="454" t="s">
        <v>67</v>
      </c>
      <c r="AF130" s="454" t="str">
        <f>IF($AL$18="GOED",$AF$18,$AL$18)</f>
        <v>LEEG</v>
      </c>
      <c r="AG130" s="454" t="s">
        <v>465</v>
      </c>
      <c r="AH130" s="531" t="s">
        <v>2528</v>
      </c>
      <c r="AI130" s="454"/>
      <c r="AJ130" s="454" t="s">
        <v>67</v>
      </c>
      <c r="AK130" s="454" t="str">
        <f>IF($AK$40="GOED",$AD$40,$AK$40)</f>
        <v>LEEG</v>
      </c>
      <c r="AL130" s="810" t="s">
        <v>412</v>
      </c>
      <c r="AM130" s="531" t="str">
        <f>IF(OR(AF130="LEEG",AF130="FOUT",AF130="ONGELDIG",AK130="LEEG",AK130="FOUT",AK130="ONGELDIG"),"onvoldoende gegevens",IF(AF130=AK130,"JA","NEE"))</f>
        <v>onvoldoende gegevens</v>
      </c>
      <c r="AN130" s="454"/>
      <c r="AO130" s="535" t="s">
        <v>520</v>
      </c>
      <c r="AP130" s="819">
        <f>COUNTIF(AM130:AM133,"JA")</f>
        <v>0</v>
      </c>
      <c r="AQ130" s="763" t="str">
        <f ca="1">IF(AR130=$AR$11,$AQ$11,IF(AR130=$AR$12,$AQ$12,VLOOKUP(AR130,Voorblad!$X$67:$Z$98,2,FALSE)))</f>
        <v>Zwitserland</v>
      </c>
      <c r="AR130" s="764" t="str">
        <f t="shared" ca="1" si="29"/>
        <v>A4</v>
      </c>
      <c r="AS130" s="739" t="str">
        <f ca="1">IF(AT130=$AR$11,$AQ$11,IF(AT130=$AR$12,$AQ$12,VLOOKUP(AT130,Voorblad!$X$67:$Z$98,2,FALSE)))</f>
        <v>Zwitserland</v>
      </c>
      <c r="AT130" s="740" t="str">
        <f t="shared" ca="1" si="30"/>
        <v>A4</v>
      </c>
      <c r="AU130" s="739" t="str">
        <f ca="1">IF(AV130=$AR$11,$AQ$11,IF(AV130=$AR$12,$AQ$12,VLOOKUP(AV130,Voorblad!$X$67:$Z$98,2,FALSE)))</f>
        <v>Zwitserland</v>
      </c>
      <c r="AV130" s="740" t="str">
        <f t="shared" ca="1" si="31"/>
        <v>A4</v>
      </c>
      <c r="AW130" s="744" t="str">
        <f ca="1">IF(AX130=$AR$11,$AQ$11,IF(AX130=$AR$12,$AQ$12,VLOOKUP(AX130,Voorblad!$X$67:$Z$98,2,FALSE)))</f>
        <v>Zwitserland</v>
      </c>
      <c r="AX130" s="745" t="str">
        <f t="shared" ca="1" si="32"/>
        <v>A4</v>
      </c>
      <c r="AY130" s="744" t="str">
        <f ca="1">IF(AZ130=$AR$11,$AQ$11,IF(AZ130=$AR$12,$AQ$12,VLOOKUP(AZ130,Voorblad!$X$67:$Z$98,2,FALSE)))</f>
        <v>Zwitserland</v>
      </c>
      <c r="AZ130" s="745" t="str">
        <f t="shared" ca="1" si="33"/>
        <v>A4</v>
      </c>
      <c r="BA130" s="747">
        <f t="shared" si="34"/>
        <v>48</v>
      </c>
    </row>
    <row r="131" spans="28:53" x14ac:dyDescent="0.25">
      <c r="AB131" s="454"/>
      <c r="AC131" s="531" t="s">
        <v>2541</v>
      </c>
      <c r="AD131" s="454"/>
      <c r="AE131" s="454" t="s">
        <v>67</v>
      </c>
      <c r="AF131" s="454" t="str">
        <f>IF($AL$20="GOED",$AF$20,$AL$20)</f>
        <v>LEEG</v>
      </c>
      <c r="AG131" s="454" t="s">
        <v>465</v>
      </c>
      <c r="AH131" s="531" t="s">
        <v>2530</v>
      </c>
      <c r="AI131" s="454"/>
      <c r="AJ131" s="454" t="s">
        <v>67</v>
      </c>
      <c r="AK131" s="454" t="str">
        <f>IF($AK$36="GOED",$AD$36,$AK$36)</f>
        <v>LEEG</v>
      </c>
      <c r="AL131" s="810" t="s">
        <v>412</v>
      </c>
      <c r="AM131" s="531" t="str">
        <f>IF(OR(AF131="LEEG",AF131="FOUT",AF131="ONGELDIG",AK131="LEEG",AK131="FOUT",AK131="ONGELDIG"),"onvoldoende gegevens",IF(AF131=AK131,"JA","NEE"))</f>
        <v>onvoldoende gegevens</v>
      </c>
      <c r="AN131" s="454"/>
      <c r="AO131" s="535" t="s">
        <v>1129</v>
      </c>
      <c r="AP131" s="819">
        <v>1</v>
      </c>
      <c r="AQ131" s="763" t="str">
        <f ca="1">IF(AR131=$AR$11,$AQ$11,IF(AR131=$AR$12,$AQ$12,VLOOKUP(AR131,Voorblad!$X$67:$Z$98,2,FALSE)))</f>
        <v/>
      </c>
      <c r="AR131" s="764" t="str">
        <f t="shared" ca="1" si="29"/>
        <v>??</v>
      </c>
      <c r="AS131" s="739" t="str">
        <f ca="1">IF(AT131=$AR$11,$AQ$11,IF(AT131=$AR$12,$AQ$12,VLOOKUP(AT131,Voorblad!$X$67:$Z$98,2,FALSE)))</f>
        <v/>
      </c>
      <c r="AT131" s="740" t="str">
        <f t="shared" ca="1" si="30"/>
        <v>??</v>
      </c>
      <c r="AU131" s="739" t="str">
        <f ca="1">IF(AV131=$AR$11,$AQ$11,IF(AV131=$AR$12,$AQ$12,VLOOKUP(AV131,Voorblad!$X$67:$Z$98,2,FALSE)))</f>
        <v/>
      </c>
      <c r="AV131" s="740" t="str">
        <f t="shared" ca="1" si="31"/>
        <v>??</v>
      </c>
      <c r="AW131" s="744" t="str">
        <f ca="1">IF(AX131=$AR$11,$AQ$11,IF(AX131=$AR$12,$AQ$12,VLOOKUP(AX131,Voorblad!$X$67:$Z$98,2,FALSE)))</f>
        <v/>
      </c>
      <c r="AX131" s="745" t="str">
        <f t="shared" ca="1" si="32"/>
        <v>??</v>
      </c>
      <c r="AY131" s="744" t="str">
        <f ca="1">IF(AZ131=$AR$11,$AQ$11,IF(AZ131=$AR$12,$AQ$12,VLOOKUP(AZ131,Voorblad!$X$67:$Z$98,2,FALSE)))</f>
        <v/>
      </c>
      <c r="AZ131" s="745" t="str">
        <f t="shared" ca="1" si="33"/>
        <v>??</v>
      </c>
      <c r="BA131" s="747">
        <f t="shared" si="34"/>
        <v>50</v>
      </c>
    </row>
    <row r="132" spans="28:53" x14ac:dyDescent="0.25">
      <c r="AB132" s="454"/>
      <c r="AC132" s="531" t="s">
        <v>2542</v>
      </c>
      <c r="AD132" s="454"/>
      <c r="AE132" s="454" t="s">
        <v>67</v>
      </c>
      <c r="AF132" s="454" t="str">
        <f>IF($AL$24="GOED",$AF$24,$AL$24)</f>
        <v>LEEG</v>
      </c>
      <c r="AG132" s="454" t="s">
        <v>465</v>
      </c>
      <c r="AH132" s="531" t="s">
        <v>2531</v>
      </c>
      <c r="AI132" s="454"/>
      <c r="AJ132" s="454" t="s">
        <v>67</v>
      </c>
      <c r="AK132" s="454" t="str">
        <f>IF($AK$38="GOED",$AD$38,$AK$38)</f>
        <v>LEEG</v>
      </c>
      <c r="AL132" s="810" t="s">
        <v>412</v>
      </c>
      <c r="AM132" s="531" t="str">
        <f>IF(OR(AF132="LEEG",AF132="FOUT",AF132="ONGELDIG",AK132="LEEG",AK132="FOUT",AK132="ONGELDIG"),"onvoldoende gegevens",IF(AF132=AK132,"JA","NEE"))</f>
        <v>onvoldoende gegevens</v>
      </c>
      <c r="AN132" s="531"/>
      <c r="AO132" s="535" t="s">
        <v>521</v>
      </c>
      <c r="AP132" s="819">
        <f>COUNTIF(AM130:AM133,"NEE")</f>
        <v>0</v>
      </c>
      <c r="AQ132" s="763" t="str">
        <f ca="1">IF(AR132=$AR$11,$AQ$11,IF(AR132=$AR$12,$AQ$12,VLOOKUP(AR132,Voorblad!$X$67:$Z$98,2,FALSE)))</f>
        <v/>
      </c>
      <c r="AR132" s="764" t="str">
        <f t="shared" ca="1" si="29"/>
        <v>??</v>
      </c>
      <c r="AS132" s="739" t="str">
        <f ca="1">IF(AT132=$AR$11,$AQ$11,IF(AT132=$AR$12,$AQ$12,VLOOKUP(AT132,Voorblad!$X$67:$Z$98,2,FALSE)))</f>
        <v/>
      </c>
      <c r="AT132" s="740" t="str">
        <f t="shared" ca="1" si="30"/>
        <v>??</v>
      </c>
      <c r="AU132" s="739" t="str">
        <f ca="1">IF(AV132=$AR$11,$AQ$11,IF(AV132=$AR$12,$AQ$12,VLOOKUP(AV132,Voorblad!$X$67:$Z$98,2,FALSE)))</f>
        <v/>
      </c>
      <c r="AV132" s="740" t="str">
        <f t="shared" ca="1" si="31"/>
        <v>??</v>
      </c>
      <c r="AW132" s="744" t="str">
        <f ca="1">IF(AX132=$AR$11,$AQ$11,IF(AX132=$AR$12,$AQ$12,VLOOKUP(AX132,Voorblad!$X$67:$Z$98,2,FALSE)))</f>
        <v/>
      </c>
      <c r="AX132" s="745" t="str">
        <f t="shared" ca="1" si="32"/>
        <v>??</v>
      </c>
      <c r="AY132" s="744" t="str">
        <f ca="1">IF(AZ132=$AR$11,$AQ$11,IF(AZ132=$AR$12,$AQ$12,VLOOKUP(AZ132,Voorblad!$X$67:$Z$98,2,FALSE)))</f>
        <v/>
      </c>
      <c r="AZ132" s="745" t="str">
        <f t="shared" ca="1" si="33"/>
        <v>??</v>
      </c>
      <c r="BA132" s="747">
        <f t="shared" si="34"/>
        <v>52</v>
      </c>
    </row>
    <row r="133" spans="28:53" x14ac:dyDescent="0.25">
      <c r="AB133" s="454"/>
      <c r="AC133" s="531" t="s">
        <v>2543</v>
      </c>
      <c r="AD133" s="454"/>
      <c r="AE133" s="454" t="s">
        <v>67</v>
      </c>
      <c r="AF133" s="454" t="str">
        <f>IF($AL$26="GOED",$AF$26,$AL$26)</f>
        <v>LEEG</v>
      </c>
      <c r="AG133" s="454" t="s">
        <v>465</v>
      </c>
      <c r="AH133" s="531" t="s">
        <v>2532</v>
      </c>
      <c r="AI133" s="454"/>
      <c r="AJ133" s="454" t="s">
        <v>67</v>
      </c>
      <c r="AK133" s="454" t="str">
        <f>IF($AK$42="GOED",$AD$42,$AK$42)</f>
        <v>LEEG</v>
      </c>
      <c r="AL133" s="810" t="s">
        <v>412</v>
      </c>
      <c r="AM133" s="531" t="str">
        <f>IF(OR(AF133="LEEG",AF133="FOUT",AF133="ONGELDIG",AK133="LEEG",AK133="FOUT",AK133="ONGELDIG"),"onvoldoende gegevens",IF(AF133=AK133,"JA","NEE"))</f>
        <v>onvoldoende gegevens</v>
      </c>
      <c r="AN133" s="810" t="s">
        <v>412</v>
      </c>
      <c r="AO133" s="534" t="str">
        <f>IF(AP130&gt;=AP131,"JA",IF(AP129&gt;0,"onvoldoende gegevens","NEE"))</f>
        <v>onvoldoende gegevens</v>
      </c>
      <c r="AP133" s="811"/>
      <c r="AQ133" s="763" t="str">
        <f ca="1">IF(AR133=$AR$11,$AQ$11,IF(AR133=$AR$12,$AQ$12,VLOOKUP(AR133,Voorblad!$X$67:$Z$98,2,FALSE)))</f>
        <v/>
      </c>
      <c r="AR133" s="764" t="str">
        <f t="shared" ca="1" si="29"/>
        <v>??</v>
      </c>
      <c r="AS133" s="739" t="str">
        <f ca="1">IF(AT133=$AR$11,$AQ$11,IF(AT133=$AR$12,$AQ$12,VLOOKUP(AT133,Voorblad!$X$67:$Z$98,2,FALSE)))</f>
        <v/>
      </c>
      <c r="AT133" s="740" t="str">
        <f t="shared" ca="1" si="30"/>
        <v>??</v>
      </c>
      <c r="AU133" s="739" t="str">
        <f ca="1">IF(AV133=$AR$11,$AQ$11,IF(AV133=$AR$12,$AQ$12,VLOOKUP(AV133,Voorblad!$X$67:$Z$98,2,FALSE)))</f>
        <v/>
      </c>
      <c r="AV133" s="740" t="str">
        <f t="shared" ca="1" si="31"/>
        <v>??</v>
      </c>
      <c r="AW133" s="744" t="str">
        <f ca="1">IF(AX133=$AR$11,$AQ$11,IF(AX133=$AR$12,$AQ$12,VLOOKUP(AX133,Voorblad!$X$67:$Z$98,2,FALSE)))</f>
        <v/>
      </c>
      <c r="AX133" s="745" t="str">
        <f t="shared" ca="1" si="32"/>
        <v>??</v>
      </c>
      <c r="AY133" s="744" t="str">
        <f ca="1">IF(AZ133=$AR$11,$AQ$11,IF(AZ133=$AR$12,$AQ$12,VLOOKUP(AZ133,Voorblad!$X$67:$Z$98,2,FALSE)))</f>
        <v/>
      </c>
      <c r="AZ133" s="745" t="str">
        <f t="shared" ca="1" si="33"/>
        <v>??</v>
      </c>
      <c r="BA133" s="747">
        <f t="shared" si="34"/>
        <v>54</v>
      </c>
    </row>
    <row r="134" spans="28:53" x14ac:dyDescent="0.25">
      <c r="AB134" s="454"/>
      <c r="AC134" s="531"/>
      <c r="AD134" s="454"/>
      <c r="AE134" s="454"/>
      <c r="AF134" s="810"/>
      <c r="AG134" s="454"/>
      <c r="AH134" s="531"/>
      <c r="AI134" s="531"/>
      <c r="AJ134" s="454"/>
      <c r="AK134" s="454"/>
      <c r="AL134" s="810"/>
      <c r="AM134" s="531"/>
      <c r="AN134" s="531"/>
      <c r="AO134" s="531"/>
      <c r="AP134" s="531"/>
      <c r="AQ134" s="763" t="str">
        <f ca="1">IF(AR134=$AR$11,$AQ$11,IF(AR134=$AR$12,$AQ$12,VLOOKUP(AR134,Voorblad!$X$67:$Z$98,2,FALSE)))</f>
        <v/>
      </c>
      <c r="AR134" s="764" t="str">
        <f t="shared" ca="1" si="29"/>
        <v>??</v>
      </c>
      <c r="AS134" s="739" t="str">
        <f ca="1">IF(AT134=$AR$11,$AQ$11,IF(AT134=$AR$12,$AQ$12,VLOOKUP(AT134,Voorblad!$X$67:$Z$98,2,FALSE)))</f>
        <v/>
      </c>
      <c r="AT134" s="740" t="str">
        <f t="shared" ca="1" si="30"/>
        <v>??</v>
      </c>
      <c r="AU134" s="739" t="str">
        <f ca="1">IF(AV134=$AR$11,$AQ$11,IF(AV134=$AR$12,$AQ$12,VLOOKUP(AV134,Voorblad!$X$67:$Z$98,2,FALSE)))</f>
        <v/>
      </c>
      <c r="AV134" s="740" t="str">
        <f t="shared" ca="1" si="31"/>
        <v>??</v>
      </c>
      <c r="AW134" s="744" t="str">
        <f ca="1">IF(AX134=$AR$11,$AQ$11,IF(AX134=$AR$12,$AQ$12,VLOOKUP(AX134,Voorblad!$X$67:$Z$98,2,FALSE)))</f>
        <v/>
      </c>
      <c r="AX134" s="745" t="str">
        <f t="shared" ca="1" si="32"/>
        <v>??</v>
      </c>
      <c r="AY134" s="744" t="str">
        <f ca="1">IF(AZ134=$AR$11,$AQ$11,IF(AZ134=$AR$12,$AQ$12,VLOOKUP(AZ134,Voorblad!$X$67:$Z$98,2,FALSE)))</f>
        <v/>
      </c>
      <c r="AZ134" s="745" t="str">
        <f t="shared" ca="1" si="33"/>
        <v>??</v>
      </c>
      <c r="BA134" s="747">
        <f t="shared" si="34"/>
        <v>56</v>
      </c>
    </row>
    <row r="135" spans="28:53" x14ac:dyDescent="0.25">
      <c r="AB135" s="454"/>
      <c r="AC135" s="531"/>
      <c r="AD135" s="454"/>
      <c r="AE135" s="454"/>
      <c r="AF135" s="810"/>
      <c r="AG135" s="454"/>
      <c r="AH135" s="531"/>
      <c r="AI135" s="531"/>
      <c r="AJ135" s="454"/>
      <c r="AK135" s="454"/>
      <c r="AL135" s="810"/>
      <c r="AM135" s="531"/>
      <c r="AN135" s="531"/>
      <c r="AO135" s="531"/>
      <c r="AP135" s="454"/>
      <c r="AQ135" s="763" t="str">
        <f ca="1">IF(AR135=$AR$11,$AQ$11,IF(AR135=$AR$12,$AQ$12,VLOOKUP(AR135,Voorblad!$X$67:$Z$98,2,FALSE)))</f>
        <v/>
      </c>
      <c r="AR135" s="764" t="str">
        <f t="shared" ca="1" si="29"/>
        <v>??</v>
      </c>
      <c r="AS135" s="739" t="str">
        <f ca="1">IF(AT135=$AR$11,$AQ$11,IF(AT135=$AR$12,$AQ$12,VLOOKUP(AT135,Voorblad!$X$67:$Z$98,2,FALSE)))</f>
        <v/>
      </c>
      <c r="AT135" s="740" t="str">
        <f t="shared" ca="1" si="30"/>
        <v>??</v>
      </c>
      <c r="AU135" s="739" t="str">
        <f ca="1">IF(AV135=$AR$11,$AQ$11,IF(AV135=$AR$12,$AQ$12,VLOOKUP(AV135,Voorblad!$X$67:$Z$98,2,FALSE)))</f>
        <v/>
      </c>
      <c r="AV135" s="740" t="str">
        <f t="shared" ca="1" si="31"/>
        <v>??</v>
      </c>
      <c r="AW135" s="744" t="str">
        <f ca="1">IF(AX135=$AR$11,$AQ$11,IF(AX135=$AR$12,$AQ$12,VLOOKUP(AX135,Voorblad!$X$67:$Z$98,2,FALSE)))</f>
        <v/>
      </c>
      <c r="AX135" s="745" t="str">
        <f t="shared" ca="1" si="32"/>
        <v>??</v>
      </c>
      <c r="AY135" s="744" t="str">
        <f ca="1">IF(AZ135=$AR$11,$AQ$11,IF(AZ135=$AR$12,$AQ$12,VLOOKUP(AZ135,Voorblad!$X$67:$Z$98,2,FALSE)))</f>
        <v/>
      </c>
      <c r="AZ135" s="745" t="str">
        <f t="shared" ca="1" si="33"/>
        <v>??</v>
      </c>
      <c r="BA135" s="747">
        <f t="shared" si="34"/>
        <v>58</v>
      </c>
    </row>
    <row r="136" spans="28:53" x14ac:dyDescent="0.25">
      <c r="AB136" s="454"/>
      <c r="AC136" s="531"/>
      <c r="AD136" s="454"/>
      <c r="AE136" s="454"/>
      <c r="AF136" s="810"/>
      <c r="AG136" s="454"/>
      <c r="AH136" s="454"/>
      <c r="AI136" s="531"/>
      <c r="AJ136" s="454"/>
      <c r="AK136" s="454"/>
      <c r="AL136" s="810"/>
      <c r="AM136" s="531"/>
      <c r="AN136" s="454"/>
      <c r="AO136" s="454"/>
      <c r="AP136" s="454"/>
      <c r="AQ136" s="763" t="str">
        <f ca="1">IF(AR136=$AR$11,$AQ$11,IF(AR136=$AR$12,$AQ$12,VLOOKUP(AR136,Voorblad!$X$67:$Z$98,2,FALSE)))</f>
        <v/>
      </c>
      <c r="AR136" s="764" t="str">
        <f t="shared" ca="1" si="29"/>
        <v>??</v>
      </c>
      <c r="AS136" s="739" t="str">
        <f ca="1">IF(AT136=$AR$11,$AQ$11,IF(AT136=$AR$12,$AQ$12,VLOOKUP(AT136,Voorblad!$X$67:$Z$98,2,FALSE)))</f>
        <v/>
      </c>
      <c r="AT136" s="740" t="str">
        <f t="shared" ca="1" si="30"/>
        <v>??</v>
      </c>
      <c r="AU136" s="739" t="str">
        <f ca="1">IF(AV136=$AR$11,$AQ$11,IF(AV136=$AR$12,$AQ$12,VLOOKUP(AV136,Voorblad!$X$67:$Z$98,2,FALSE)))</f>
        <v/>
      </c>
      <c r="AV136" s="740" t="str">
        <f t="shared" ca="1" si="31"/>
        <v>??</v>
      </c>
      <c r="AW136" s="744" t="str">
        <f ca="1">IF(AX136=$AR$11,$AQ$11,IF(AX136=$AR$12,$AQ$12,VLOOKUP(AX136,Voorblad!$X$67:$Z$98,2,FALSE)))</f>
        <v/>
      </c>
      <c r="AX136" s="745" t="str">
        <f t="shared" ca="1" si="32"/>
        <v>??</v>
      </c>
      <c r="AY136" s="744" t="str">
        <f ca="1">IF(AZ136=$AR$11,$AQ$11,IF(AZ136=$AR$12,$AQ$12,VLOOKUP(AZ136,Voorblad!$X$67:$Z$98,2,FALSE)))</f>
        <v/>
      </c>
      <c r="AZ136" s="745" t="str">
        <f t="shared" ca="1" si="33"/>
        <v>??</v>
      </c>
      <c r="BA136" s="747">
        <f t="shared" si="34"/>
        <v>60</v>
      </c>
    </row>
    <row r="137" spans="28:53" x14ac:dyDescent="0.25">
      <c r="AB137" s="532"/>
      <c r="AC137" s="533"/>
      <c r="AD137" s="454"/>
      <c r="AE137" s="532"/>
      <c r="AF137" s="810"/>
      <c r="AG137" s="454"/>
      <c r="AH137" s="532"/>
      <c r="AI137" s="533"/>
      <c r="AJ137" s="454"/>
      <c r="AK137" s="532"/>
      <c r="AL137" s="810"/>
      <c r="AM137" s="531"/>
      <c r="AN137" s="532"/>
      <c r="AO137" s="532"/>
      <c r="AP137" s="532"/>
      <c r="AQ137" s="763" t="str">
        <f ca="1">IF(AR137=$AR$11,$AQ$11,IF(AR137=$AR$12,$AQ$12,VLOOKUP(AR137,Voorblad!$X$67:$Z$98,2,FALSE)))</f>
        <v/>
      </c>
      <c r="AR137" s="764" t="str">
        <f t="shared" ca="1" si="29"/>
        <v>??</v>
      </c>
      <c r="AS137" s="739" t="str">
        <f ca="1">IF(AT137=$AR$11,$AQ$11,IF(AT137=$AR$12,$AQ$12,VLOOKUP(AT137,Voorblad!$X$67:$Z$98,2,FALSE)))</f>
        <v/>
      </c>
      <c r="AT137" s="740" t="str">
        <f t="shared" ca="1" si="30"/>
        <v>??</v>
      </c>
      <c r="AU137" s="739" t="str">
        <f ca="1">IF(AV137=$AR$11,$AQ$11,IF(AV137=$AR$12,$AQ$12,VLOOKUP(AV137,Voorblad!$X$67:$Z$98,2,FALSE)))</f>
        <v/>
      </c>
      <c r="AV137" s="740" t="str">
        <f t="shared" ca="1" si="31"/>
        <v>??</v>
      </c>
      <c r="AW137" s="744" t="str">
        <f ca="1">IF(AX137=$AR$11,$AQ$11,IF(AX137=$AR$12,$AQ$12,VLOOKUP(AX137,Voorblad!$X$67:$Z$98,2,FALSE)))</f>
        <v/>
      </c>
      <c r="AX137" s="745" t="str">
        <f t="shared" ca="1" si="32"/>
        <v>??</v>
      </c>
      <c r="AY137" s="744" t="str">
        <f ca="1">IF(AZ137=$AR$11,$AQ$11,IF(AZ137=$AR$12,$AQ$12,VLOOKUP(AZ137,Voorblad!$X$67:$Z$98,2,FALSE)))</f>
        <v/>
      </c>
      <c r="AZ137" s="745" t="str">
        <f t="shared" ca="1" si="33"/>
        <v>??</v>
      </c>
      <c r="BA137" s="747">
        <f t="shared" si="34"/>
        <v>62</v>
      </c>
    </row>
    <row r="138" spans="28:53" ht="15" customHeight="1" x14ac:dyDescent="0.25">
      <c r="AB138" s="923" t="s">
        <v>96</v>
      </c>
      <c r="AC138" s="529" t="str">
        <f>Taal04!$C$131</f>
        <v>Van de zes groepswinnaars weten er minimaal vijf de achtste finales te overleven en zo ook de kwartfinales te bereiken.</v>
      </c>
      <c r="AD138" s="530"/>
      <c r="AE138" s="530"/>
      <c r="AF138" s="530"/>
      <c r="AG138" s="530"/>
      <c r="AH138" s="530"/>
      <c r="AI138" s="530"/>
      <c r="AJ138" s="530"/>
      <c r="AK138" s="530"/>
      <c r="AL138" s="530"/>
      <c r="AM138" s="530"/>
      <c r="AN138" s="530"/>
      <c r="AO138" s="530"/>
      <c r="AP138" s="818"/>
      <c r="AQ138" s="763" t="str">
        <f ca="1">IF(AR138=$AR$11,$AQ$11,IF(AR138=$AR$12,$AQ$12,VLOOKUP(AR138,Voorblad!$X$67:$Z$98,2,FALSE)))</f>
        <v/>
      </c>
      <c r="AR138" s="764" t="str">
        <f t="shared" ca="1" si="29"/>
        <v>??</v>
      </c>
      <c r="AS138" s="739" t="str">
        <f ca="1">IF(AT138=$AR$11,$AQ$11,IF(AT138=$AR$12,$AQ$12,VLOOKUP(AT138,Voorblad!$X$67:$Z$98,2,FALSE)))</f>
        <v/>
      </c>
      <c r="AT138" s="740" t="str">
        <f t="shared" ca="1" si="30"/>
        <v>??</v>
      </c>
      <c r="AU138" s="739" t="str">
        <f ca="1">IF(AV138=$AR$11,$AQ$11,IF(AV138=$AR$12,$AQ$12,VLOOKUP(AV138,Voorblad!$X$67:$Z$98,2,FALSE)))</f>
        <v/>
      </c>
      <c r="AV138" s="740" t="str">
        <f t="shared" ca="1" si="31"/>
        <v>??</v>
      </c>
      <c r="AW138" s="744" t="str">
        <f ca="1">IF(AX138=$AR$11,$AQ$11,IF(AX138=$AR$12,$AQ$12,VLOOKUP(AX138,Voorblad!$X$67:$Z$98,2,FALSE)))</f>
        <v/>
      </c>
      <c r="AX138" s="745" t="str">
        <f t="shared" ca="1" si="32"/>
        <v>??</v>
      </c>
      <c r="AY138" s="744" t="str">
        <f ca="1">IF(AZ138=$AR$11,$AQ$11,IF(AZ138=$AR$12,$AQ$12,VLOOKUP(AZ138,Voorblad!$X$67:$Z$98,2,FALSE)))</f>
        <v/>
      </c>
      <c r="AZ138" s="745" t="str">
        <f t="shared" ca="1" si="33"/>
        <v>??</v>
      </c>
      <c r="BA138" s="747">
        <f t="shared" si="34"/>
        <v>64</v>
      </c>
    </row>
    <row r="139" spans="28:53" ht="15" customHeight="1" x14ac:dyDescent="0.25">
      <c r="AB139" s="924"/>
      <c r="AC139" s="531" t="s">
        <v>479</v>
      </c>
      <c r="AD139" s="454"/>
      <c r="AE139" s="454" t="s">
        <v>67</v>
      </c>
      <c r="AF139" s="531" t="str">
        <f>IF($AG$71=1,$AC$70,"HUIDIG BLAD")</f>
        <v>EINDSTAND GROEP VOORSPELLEN</v>
      </c>
      <c r="AG139" s="454"/>
      <c r="AH139" s="454"/>
      <c r="AI139" s="454"/>
      <c r="AJ139" s="454"/>
      <c r="AK139" s="454"/>
      <c r="AL139" s="454"/>
      <c r="AM139" s="454"/>
      <c r="AN139" s="454"/>
      <c r="AO139" s="454"/>
      <c r="AP139" s="811"/>
      <c r="AQ139" s="763" t="str">
        <f ca="1">IF(AR139=$AR$11,$AQ$11,IF(AR139=$AR$12,$AQ$12,VLOOKUP(AR139,Voorblad!$X$67:$Z$98,2,FALSE)))</f>
        <v/>
      </c>
      <c r="AR139" s="764" t="str">
        <f t="shared" ca="1" si="29"/>
        <v>??</v>
      </c>
      <c r="AS139" s="739" t="str">
        <f ca="1">IF(AT139=$AR$11,$AQ$11,IF(AT139=$AR$12,$AQ$12,VLOOKUP(AT139,Voorblad!$X$67:$Z$98,2,FALSE)))</f>
        <v/>
      </c>
      <c r="AT139" s="740" t="str">
        <f t="shared" ca="1" si="30"/>
        <v>??</v>
      </c>
      <c r="AU139" s="739" t="str">
        <f ca="1">IF(AV139=$AR$11,$AQ$11,IF(AV139=$AR$12,$AQ$12,VLOOKUP(AV139,Voorblad!$X$67:$Z$98,2,FALSE)))</f>
        <v/>
      </c>
      <c r="AV139" s="740" t="str">
        <f t="shared" ca="1" si="31"/>
        <v>??</v>
      </c>
      <c r="AW139" s="744" t="str">
        <f ca="1">IF(AX139=$AR$11,$AQ$11,IF(AX139=$AR$12,$AQ$12,VLOOKUP(AX139,Voorblad!$X$67:$Z$98,2,FALSE)))</f>
        <v/>
      </c>
      <c r="AX139" s="745" t="str">
        <f t="shared" ca="1" si="32"/>
        <v>??</v>
      </c>
      <c r="AY139" s="744" t="str">
        <f ca="1">IF(AZ139=$AR$11,$AQ$11,IF(AZ139=$AR$12,$AQ$12,VLOOKUP(AZ139,Voorblad!$X$67:$Z$98,2,FALSE)))</f>
        <v/>
      </c>
      <c r="AZ139" s="745" t="str">
        <f t="shared" ca="1" si="33"/>
        <v>??</v>
      </c>
      <c r="BA139" s="747">
        <f t="shared" si="34"/>
        <v>66</v>
      </c>
    </row>
    <row r="140" spans="28:53" ht="15" customHeight="1" x14ac:dyDescent="0.25">
      <c r="AB140" s="924" t="s">
        <v>101</v>
      </c>
      <c r="AC140" s="531" t="str">
        <f>IF($AF$139="HUIDIG BLAD","wed. 37t","nr.1 grp A")</f>
        <v>nr.1 grp A</v>
      </c>
      <c r="AD140" s="454" t="s">
        <v>67</v>
      </c>
      <c r="AE140" s="454" t="str">
        <f>IF($AF$139="HUIDIG BLAD",IF($AK$16="GOED",$AD$16,$AK$16),IF('Eindstand Groep'!$Y$15="FOUT","FOUT",LEFT('Eindstand Groep'!$Y$15,2)))</f>
        <v>FOUT</v>
      </c>
      <c r="AF140" s="454"/>
      <c r="AG140" s="454" t="s">
        <v>465</v>
      </c>
      <c r="AH140" s="531" t="s">
        <v>2527</v>
      </c>
      <c r="AI140" s="454"/>
      <c r="AJ140" s="454" t="s">
        <v>67</v>
      </c>
      <c r="AK140" s="454" t="str">
        <f>IF($AK$38="GOED",$AD$38,$AK$38)</f>
        <v>LEEG</v>
      </c>
      <c r="AL140" s="810" t="s">
        <v>412</v>
      </c>
      <c r="AM140" s="531" t="str">
        <f t="shared" ref="AM140:AM147" si="36">IF(OR(AE140="LEEG",AE140="FOUT",AE140="ONGELDIG",AK140="LEEG",AK140="FOUT",AK140="ONGELDIG"),"onvoldoende gegevens",IF(AE140=AK140,"JA","NEE"))</f>
        <v>onvoldoende gegevens</v>
      </c>
      <c r="AN140" s="454"/>
      <c r="AO140" s="535" t="s">
        <v>519</v>
      </c>
      <c r="AP140" s="819">
        <f>COUNTIF(AM140:AM147,"onvoldoende gegevens")</f>
        <v>6</v>
      </c>
      <c r="AQ140" s="1360" t="s">
        <v>323</v>
      </c>
      <c r="AR140" s="1360"/>
      <c r="AS140" s="1360"/>
      <c r="AT140" s="1360"/>
      <c r="AU140" s="1360"/>
      <c r="AV140" s="1360"/>
      <c r="AW140" s="1360"/>
      <c r="AX140" s="1360"/>
      <c r="AY140" s="791"/>
      <c r="AZ140" s="791"/>
      <c r="BA140" s="791"/>
    </row>
    <row r="141" spans="28:53" ht="15" customHeight="1" x14ac:dyDescent="0.25">
      <c r="AB141" s="924" t="s">
        <v>1959</v>
      </c>
      <c r="AC141" s="531" t="str">
        <f>IF($AF$139="HUIDIG BLAD","wed. 40t","nr.1 grp C")</f>
        <v>nr.1 grp C</v>
      </c>
      <c r="AD141" s="454" t="s">
        <v>67</v>
      </c>
      <c r="AE141" s="454" t="str">
        <f>IF($AF$139="HUIDIG BLAD",IF($AK$18="GOED",$AD$18,$AK$18),IF('Eindstand Groep'!$Y$25="FOUT","FOUT",LEFT('Eindstand Groep'!$Y$25,2)))</f>
        <v>FOUT</v>
      </c>
      <c r="AF141" s="454"/>
      <c r="AG141" s="454" t="s">
        <v>465</v>
      </c>
      <c r="AH141" s="531" t="s">
        <v>2528</v>
      </c>
      <c r="AI141" s="454"/>
      <c r="AJ141" s="454" t="s">
        <v>67</v>
      </c>
      <c r="AK141" s="454" t="str">
        <f>IF($AK$42="GOED",$AD$42,$AK$42)</f>
        <v>LEEG</v>
      </c>
      <c r="AL141" s="810" t="s">
        <v>412</v>
      </c>
      <c r="AM141" s="531" t="str">
        <f t="shared" si="36"/>
        <v>onvoldoende gegevens</v>
      </c>
      <c r="AN141" s="454"/>
      <c r="AO141" s="535" t="s">
        <v>520</v>
      </c>
      <c r="AP141" s="819">
        <f>COUNTIF(AM140:AM147,"JA")</f>
        <v>0</v>
      </c>
      <c r="AQ141" s="1361"/>
      <c r="AR141" s="1361"/>
      <c r="AS141" s="1361"/>
      <c r="AT141" s="1361"/>
      <c r="AU141" s="1361"/>
      <c r="AV141" s="1361"/>
      <c r="AW141" s="1361"/>
      <c r="AX141" s="1361"/>
      <c r="AY141" s="293" t="s">
        <v>142</v>
      </c>
      <c r="AZ141" s="293" t="s">
        <v>68</v>
      </c>
      <c r="BA141" s="293" t="s">
        <v>12</v>
      </c>
    </row>
    <row r="142" spans="28:53" x14ac:dyDescent="0.25">
      <c r="AB142" s="924" t="s">
        <v>1957</v>
      </c>
      <c r="AC142" s="531" t="str">
        <f>IF($AF$139="HUIDIG BLAD","wed. 39t","nr.1 grp B")</f>
        <v>nr.1 grp B</v>
      </c>
      <c r="AD142" s="454" t="s">
        <v>67</v>
      </c>
      <c r="AE142" s="454" t="str">
        <f>IF($AF$139="HUIDIG BLAD",IF($AK$20="GOED",$AD$20,$AK$20),IF('Eindstand Groep'!$Z$15="FOUT","FOUT",LEFT('Eindstand Groep'!$Z$15,2)))</f>
        <v>FOUT</v>
      </c>
      <c r="AF142" s="454"/>
      <c r="AG142" s="454" t="s">
        <v>465</v>
      </c>
      <c r="AH142" s="531" t="s">
        <v>2530</v>
      </c>
      <c r="AI142" s="454"/>
      <c r="AJ142" s="454" t="s">
        <v>67</v>
      </c>
      <c r="AK142" s="454" t="str">
        <f>IF($AK$38="GOED",$AF$38,$AK$38)</f>
        <v>LEEG</v>
      </c>
      <c r="AL142" s="810" t="s">
        <v>412</v>
      </c>
      <c r="AM142" s="531" t="str">
        <f t="shared" si="36"/>
        <v>onvoldoende gegevens</v>
      </c>
      <c r="AN142" s="454"/>
      <c r="AO142" s="535" t="s">
        <v>1129</v>
      </c>
      <c r="AP142" s="819">
        <v>5</v>
      </c>
      <c r="AQ142" s="1361"/>
      <c r="AR142" s="1361"/>
      <c r="AS142" s="1361"/>
      <c r="AT142" s="1361"/>
      <c r="AU142" s="1361"/>
      <c r="AV142" s="1361"/>
      <c r="AW142" s="1361"/>
      <c r="AX142" s="1361"/>
      <c r="AY142" s="294" t="str">
        <f>Voorblad!Z67</f>
        <v>DE</v>
      </c>
      <c r="AZ142" s="1356" t="s">
        <v>477</v>
      </c>
      <c r="BA142" s="1356" t="s">
        <v>477</v>
      </c>
    </row>
    <row r="143" spans="28:53" x14ac:dyDescent="0.25">
      <c r="AB143" s="924" t="s">
        <v>1958</v>
      </c>
      <c r="AC143" s="531" t="str">
        <f>IF($AF$139="HUIDIG BLAD","wed. 41t","nr.1 grp F")</f>
        <v>nr.1 grp F</v>
      </c>
      <c r="AD143" s="454" t="s">
        <v>67</v>
      </c>
      <c r="AE143" s="454" t="str">
        <f>IF($AF$139="HUIDIG BLAD",IF($AK$24="GOED",$AD$24,$AK$24),IF('Eindstand Groep'!$Z$35="FOUT","FOUT",LEFT('Eindstand Groep'!$Z$35,2)))</f>
        <v>FOUT</v>
      </c>
      <c r="AF143" s="454"/>
      <c r="AG143" s="454" t="s">
        <v>465</v>
      </c>
      <c r="AH143" s="531" t="s">
        <v>2531</v>
      </c>
      <c r="AI143" s="454"/>
      <c r="AJ143" s="454" t="s">
        <v>67</v>
      </c>
      <c r="AK143" s="454" t="str">
        <f>IF($AL$42="GOED",$AF$42,$AL$42)</f>
        <v>LEEG</v>
      </c>
      <c r="AL143" s="810" t="s">
        <v>412</v>
      </c>
      <c r="AM143" s="531" t="str">
        <f t="shared" si="36"/>
        <v>onvoldoende gegevens</v>
      </c>
      <c r="AN143" s="454"/>
      <c r="AO143" s="535" t="s">
        <v>521</v>
      </c>
      <c r="AP143" s="819">
        <f>COUNTIF(AM140:AM147,"NEE")</f>
        <v>2</v>
      </c>
      <c r="AQ143" s="537" t="s">
        <v>328</v>
      </c>
      <c r="AR143" s="783">
        <f>IF(AP14=6,IF(W14=3,0,1),0)+IF(AP16=6,IF(W16=3,0,1),0)+IF(AP18=6,IF(W18=3,0,1),0)+IF(AP20=6,IF(W20=3,0,1),0)+IF(AP22=6,IF(W22=3,0,1),0)+IF(AP24=6,IF(W24=3,0,1),0)+IF(AP26=6,IF(W26=3,0,1),0)+IF(AP28=6,IF(W28=3,0,1),0)+IF(AP36=6,IF(W36=3,0,1),0)+IF(AP38=6,IF(W38=3,0,1),0)+IF(AP40=6,IF(W40=3,0,1),0)+IF(AP42=6,IF(W42=3,0,1),0)+IF(AP46=6,IF(W46=3,0,1),0)+IF(AP48=6,IF(W48=3,0,1),0)+IF(AP52=6,IF(W52=3,0,1),0)+IF(AP56=6,IF(W56=3,0,1),0)</f>
        <v>0</v>
      </c>
      <c r="AS143" s="926"/>
      <c r="AT143" s="926"/>
      <c r="AU143" s="926"/>
      <c r="AV143" s="926"/>
      <c r="AW143" s="926"/>
      <c r="AX143" s="926"/>
      <c r="AY143" s="294" t="str">
        <f>Voorblad!Z68</f>
        <v>SC</v>
      </c>
      <c r="AZ143" s="1356"/>
      <c r="BA143" s="1356"/>
    </row>
    <row r="144" spans="28:53" x14ac:dyDescent="0.25">
      <c r="AB144" s="924" t="s">
        <v>1960</v>
      </c>
      <c r="AC144" s="531" t="str">
        <f>IF($AF$139="HUIDIG BLAD","wed. 26t","nr.1 grp D")</f>
        <v>nr.1 grp D</v>
      </c>
      <c r="AD144" s="454" t="s">
        <v>67</v>
      </c>
      <c r="AE144" s="454" t="str">
        <f>IF($AF$139="HUIDIG BLAD",IF($AK$26="GOED",$AD$26,$AK$26),IF('Eindstand Groep'!$Z$25="FOUT","FOUT",LEFT('Eindstand Groep'!$Z$25,2)))</f>
        <v>FOUT</v>
      </c>
      <c r="AF144" s="454"/>
      <c r="AG144" s="454" t="s">
        <v>465</v>
      </c>
      <c r="AH144" s="531" t="s">
        <v>2532</v>
      </c>
      <c r="AI144" s="454"/>
      <c r="AJ144" s="454" t="s">
        <v>67</v>
      </c>
      <c r="AK144" s="454" t="str">
        <f>IF($AK$36="GOED",$AD$36,$AK$36)</f>
        <v>LEEG</v>
      </c>
      <c r="AL144" s="810" t="s">
        <v>412</v>
      </c>
      <c r="AM144" s="531" t="str">
        <f t="shared" si="36"/>
        <v>onvoldoende gegevens</v>
      </c>
      <c r="AN144" s="810" t="s">
        <v>412</v>
      </c>
      <c r="AO144" s="534" t="str">
        <f>IF(AP141&gt;=AP142,"JA",IF(AP140&gt;0,"onvoldoende gegevens","NEE"))</f>
        <v>onvoldoende gegevens</v>
      </c>
      <c r="AP144" s="811"/>
      <c r="AQ144" s="537" t="s">
        <v>476</v>
      </c>
      <c r="AR144" s="783">
        <f>IF(AP14=6,IF(W14=3,1,0),0)+IF(AP16=6,IF(W16=3,1,0),0)+IF(AP18=6,IF(W18=3,1,0),0)+IF(AP20=6,IF(W20=3,1,0),0)+IF(AP22=6,IF(W22=3,1,0),0)+IF(AP24=6,IF(W24=3,1,0),0)+IF(AP26=6,IF(W26=3,1,0),0)+IF(AP28=6,IF(W28=3,1,0),0)+IF(AP36=6,IF(W36=3,1,0),0)+IF(AP38=6,IF(W38=3,1,0),0)+IF(AP40=6,IF(W40=3,1,0),0)+IF(AP42=6,IF(W42=3,1,0),0)+IF(AP46=6,IF(W46=3,1,0),0)+IF(AP48=6,IF(W48=3,1,0),0)+IF(AP52=6,IF(W52=3,1,0),0)+IF(AP56=6,IF(W56=3,1,0),0)</f>
        <v>0</v>
      </c>
      <c r="AS144" s="265"/>
      <c r="AT144" s="73"/>
      <c r="AU144" s="927"/>
      <c r="AV144" s="927"/>
      <c r="AW144" s="265"/>
      <c r="AX144" s="73"/>
      <c r="AY144" s="294" t="str">
        <f>Voorblad!Z69</f>
        <v>HU</v>
      </c>
      <c r="AZ144" s="1356"/>
      <c r="BA144" s="1356"/>
    </row>
    <row r="145" spans="25:53" x14ac:dyDescent="0.25">
      <c r="AB145" s="924" t="s">
        <v>1962</v>
      </c>
      <c r="AC145" s="531" t="str">
        <f>IF($AF$139="HUIDIG BLAD","wed. 28t","nr.1 grp E")</f>
        <v>nr.1 grp E</v>
      </c>
      <c r="AD145" s="454" t="s">
        <v>67</v>
      </c>
      <c r="AE145" s="454" t="str">
        <f>IF($AF$139="HUIDIG BLAD",IF($AK$28="GOED",$AD$28,$AK$28),IF('Eindstand Groep'!$Y$35="FOUT","FOUT",LEFT('Eindstand Groep'!$Y$35,2)))</f>
        <v>FOUT</v>
      </c>
      <c r="AF145" s="454"/>
      <c r="AG145" s="454" t="s">
        <v>465</v>
      </c>
      <c r="AH145" s="531" t="s">
        <v>2533</v>
      </c>
      <c r="AI145" s="454"/>
      <c r="AJ145" s="454" t="s">
        <v>67</v>
      </c>
      <c r="AK145" s="454" t="str">
        <f>IF($AK$40="GOED",$AD$40,$AK$40)</f>
        <v>LEEG</v>
      </c>
      <c r="AL145" s="810" t="s">
        <v>412</v>
      </c>
      <c r="AM145" s="531" t="str">
        <f t="shared" si="36"/>
        <v>onvoldoende gegevens</v>
      </c>
      <c r="AN145" s="454"/>
      <c r="AO145" s="454"/>
      <c r="AP145" s="811"/>
      <c r="AQ145" s="792"/>
      <c r="AR145" s="792"/>
      <c r="AS145" s="792"/>
      <c r="AT145" s="265"/>
      <c r="AU145" s="265"/>
      <c r="AV145" s="757"/>
      <c r="AW145" s="265"/>
      <c r="AX145" s="73"/>
      <c r="AY145" s="294" t="str">
        <f>Voorblad!Z70</f>
        <v>CH</v>
      </c>
      <c r="AZ145" s="1356"/>
      <c r="BA145" s="1356"/>
    </row>
    <row r="146" spans="25:53" x14ac:dyDescent="0.25">
      <c r="AB146" s="924" t="s">
        <v>1961</v>
      </c>
      <c r="AC146" s="531" t="str">
        <f>IF($AF$139="HUIDIG BLAD","wed. 54t","nr.1 grp G")</f>
        <v>nr.1 grp G</v>
      </c>
      <c r="AD146" s="454" t="s">
        <v>67</v>
      </c>
      <c r="AE146" s="454" t="str">
        <f>IF(1=1,"YY",IF($AF$139="HUIDIG BLAD",IF($AK$24="GOED",$AD$24,$AK$24),IF('Eindstand Groep'!$Y$45="FOUT","FOUT",LEFT('Eindstand Groep'!$Y$45,2))))</f>
        <v>YY</v>
      </c>
      <c r="AF146" s="454"/>
      <c r="AG146" s="454" t="s">
        <v>465</v>
      </c>
      <c r="AH146" s="531" t="s">
        <v>2529</v>
      </c>
      <c r="AI146" s="454"/>
      <c r="AJ146" s="454" t="s">
        <v>67</v>
      </c>
      <c r="AK146" s="454" t="str">
        <f>IF(1=1,"ZZ",IF($AL$36="GOED",$AF$36,$AL$36))</f>
        <v>ZZ</v>
      </c>
      <c r="AL146" s="810" t="s">
        <v>412</v>
      </c>
      <c r="AM146" s="531" t="str">
        <f t="shared" si="36"/>
        <v>NEE</v>
      </c>
      <c r="AN146" s="454"/>
      <c r="AO146" s="454"/>
      <c r="AP146" s="811"/>
      <c r="AQ146" s="295">
        <v>0.125</v>
      </c>
      <c r="AR146" s="792" t="str">
        <f>"."&amp;IF(AP14=6,AD14&amp;"."&amp;AF14&amp;".","")&amp;IF(AP16=6,AD16&amp;"."&amp;AF16&amp;".","")&amp;IF(AP18=6,AD18&amp;"."&amp;AF18&amp;".","")&amp;IF(AP20=6,AD20&amp;"."&amp;AF20&amp;".","")&amp;IF(AP22=6,AD22&amp;"."&amp;AF22&amp;".","")&amp;IF(AP24=6,AD24&amp;"."&amp;AF24&amp;".","")&amp;IF(AP26=6,AD26&amp;"."&amp;AF26&amp;".","")&amp;IF(AP28=6,AD28&amp;"."&amp;AF28&amp;".","")</f>
        <v>.</v>
      </c>
      <c r="AS146" s="792"/>
      <c r="AT146" s="265"/>
      <c r="AU146" s="265"/>
      <c r="AV146" s="757"/>
      <c r="AW146" s="265"/>
      <c r="AX146" s="73"/>
      <c r="AY146" s="294" t="str">
        <f>Voorblad!Z71</f>
        <v>ES</v>
      </c>
      <c r="AZ146" s="1356"/>
      <c r="BA146" s="1356"/>
    </row>
    <row r="147" spans="25:53" x14ac:dyDescent="0.25">
      <c r="AB147" s="925" t="s">
        <v>1963</v>
      </c>
      <c r="AC147" s="533" t="str">
        <f>IF($AF$139="HUIDIG BLAD","wed. 56t","nr.1 grp H")</f>
        <v>nr.1 grp H</v>
      </c>
      <c r="AD147" s="532" t="s">
        <v>67</v>
      </c>
      <c r="AE147" s="532" t="str">
        <f>IF(1=1,"ZZ",IF($AF$139="HUIDIG BLAD",IF($AK$28="GOED",$AD$28,$AK$28),IF('Eindstand Groep'!$Z$45="FOUT","FOUT",LEFT('Eindstand Groep'!$Z$45,2))))</f>
        <v>ZZ</v>
      </c>
      <c r="AF147" s="532"/>
      <c r="AG147" s="532" t="s">
        <v>465</v>
      </c>
      <c r="AH147" s="533" t="s">
        <v>2529</v>
      </c>
      <c r="AI147" s="532"/>
      <c r="AJ147" s="532" t="s">
        <v>67</v>
      </c>
      <c r="AK147" s="532" t="str">
        <f>IF(1=1,"YY",IF($AL$40="GOED",$AF$40,$AL$40))</f>
        <v>YY</v>
      </c>
      <c r="AL147" s="816" t="s">
        <v>412</v>
      </c>
      <c r="AM147" s="533" t="str">
        <f t="shared" si="36"/>
        <v>NEE</v>
      </c>
      <c r="AN147" s="532"/>
      <c r="AO147" s="532"/>
      <c r="AP147" s="539"/>
      <c r="AQ147" s="295">
        <v>0.25</v>
      </c>
      <c r="AR147" s="792" t="str">
        <f>"."&amp;IF(AP36=6,AD36&amp;"."&amp;AF36&amp;".","")&amp;IF(AP38=6,AD38&amp;"."&amp;AF38&amp;".","")&amp;IF(AP40=6,AD40&amp;"."&amp;AF40&amp;".","")&amp;IF(AP42=6,AD42&amp;"."&amp;AF42&amp;".","")</f>
        <v>.</v>
      </c>
      <c r="AS147" s="792"/>
      <c r="AT147" s="265"/>
      <c r="AU147" s="265"/>
      <c r="AV147" s="757"/>
      <c r="AW147" s="265"/>
      <c r="AX147" s="73"/>
      <c r="AY147" s="294" t="str">
        <f>Voorblad!Z72</f>
        <v>HR</v>
      </c>
      <c r="AZ147" s="1356"/>
      <c r="BA147" s="1356"/>
    </row>
    <row r="148" spans="25:53" x14ac:dyDescent="0.25">
      <c r="AB148" s="528" t="s">
        <v>95</v>
      </c>
      <c r="AC148" s="529" t="str">
        <f>Taal04!$C$132</f>
        <v>Van de vijftien finale wedstrijden worden zes wedstrijden of meer beslist door een verlenging of strafschoppenserie.</v>
      </c>
      <c r="AD148" s="530"/>
      <c r="AE148" s="530"/>
      <c r="AF148" s="530"/>
      <c r="AG148" s="530"/>
      <c r="AH148" s="530"/>
      <c r="AI148" s="530"/>
      <c r="AJ148" s="530"/>
      <c r="AK148" s="530"/>
      <c r="AL148" s="530"/>
      <c r="AM148" s="530"/>
      <c r="AN148" s="530"/>
      <c r="AO148" s="535" t="s">
        <v>1131</v>
      </c>
      <c r="AP148" s="819" t="str">
        <f>IF(AND(Reglement!$Q$81=1,Reglement!$H$90=2),"JA","NEE")</f>
        <v>NEE</v>
      </c>
      <c r="AQ148" s="295">
        <v>0.5</v>
      </c>
      <c r="AR148" s="792" t="str">
        <f>"."&amp;IF(AP46=6,AD46&amp;"."&amp;AF46&amp;".","")&amp;IF(AP48=6,AD48&amp;"."&amp;AF48&amp;".","")</f>
        <v>.</v>
      </c>
      <c r="AS148" s="792"/>
      <c r="AT148" s="265"/>
      <c r="AU148" s="265"/>
      <c r="AV148" s="757"/>
      <c r="AW148" s="265"/>
      <c r="AX148" s="73"/>
      <c r="AY148" s="294" t="str">
        <f>Voorblad!Z73</f>
        <v>IT</v>
      </c>
      <c r="AZ148" s="1356"/>
      <c r="BA148" s="1356"/>
    </row>
    <row r="149" spans="25:53" x14ac:dyDescent="0.25">
      <c r="AB149" s="454"/>
      <c r="AC149" s="531" t="s">
        <v>481</v>
      </c>
      <c r="AD149" s="454"/>
      <c r="AE149" s="454"/>
      <c r="AF149" s="454"/>
      <c r="AG149" s="820" t="s">
        <v>67</v>
      </c>
      <c r="AH149" s="531">
        <f>AR143</f>
        <v>0</v>
      </c>
      <c r="AI149" s="531"/>
      <c r="AJ149" s="531"/>
      <c r="AK149" s="531"/>
      <c r="AL149" s="810" t="s">
        <v>412</v>
      </c>
      <c r="AM149" s="531" t="str">
        <f>IF($AP$71="GOED",AH149,"onvoldoende gegevens")</f>
        <v>onvoldoende gegevens</v>
      </c>
      <c r="AN149" s="454"/>
      <c r="AO149" s="535" t="s">
        <v>1130</v>
      </c>
      <c r="AP149" s="819">
        <v>6</v>
      </c>
      <c r="AQ149" s="295" t="s">
        <v>329</v>
      </c>
      <c r="AR149" s="792" t="str">
        <f>"."&amp;IF(AP52=6,AD52&amp;"."&amp;AF52&amp;".","")</f>
        <v>.</v>
      </c>
      <c r="AS149" s="792"/>
      <c r="AT149" s="265"/>
      <c r="AU149" s="265"/>
      <c r="AV149" s="757"/>
      <c r="AW149" s="265"/>
      <c r="AX149" s="73"/>
      <c r="AY149" s="294" t="str">
        <f>Voorblad!Z74</f>
        <v>AL</v>
      </c>
      <c r="AZ149" s="1356"/>
      <c r="BA149" s="1356"/>
    </row>
    <row r="150" spans="25:53" x14ac:dyDescent="0.25">
      <c r="AB150" s="532"/>
      <c r="AC150" s="533" t="s">
        <v>482</v>
      </c>
      <c r="AD150" s="532"/>
      <c r="AE150" s="532"/>
      <c r="AF150" s="532"/>
      <c r="AG150" s="538" t="s">
        <v>67</v>
      </c>
      <c r="AH150" s="533">
        <f>AR144</f>
        <v>0</v>
      </c>
      <c r="AI150" s="532"/>
      <c r="AJ150" s="532"/>
      <c r="AK150" s="532"/>
      <c r="AL150" s="816" t="s">
        <v>412</v>
      </c>
      <c r="AM150" s="533" t="str">
        <f>IF($AP$71="GOED",AH150,"onvoldoende gegevens")</f>
        <v>onvoldoende gegevens</v>
      </c>
      <c r="AN150" s="814" t="s">
        <v>412</v>
      </c>
      <c r="AO150" s="534" t="str">
        <f>IF(AH150&gt;=AP149,"JA",IF(OR(AM149="onvoldoende gegevens",AM150="onvoldoende gegevens"),"onvoldoende gegevens",IF(AP148="XX","geen suggestie mogelijk","NEE")))</f>
        <v>onvoldoende gegevens</v>
      </c>
      <c r="AP150" s="539"/>
      <c r="AQ150" s="295" t="s">
        <v>169</v>
      </c>
      <c r="AR150" s="792" t="str">
        <f>"."&amp;IF(AP56=6,AD56&amp;"."&amp;AF56&amp;".","")</f>
        <v>.</v>
      </c>
      <c r="AS150" s="792"/>
      <c r="AT150" s="265"/>
      <c r="AU150" s="265"/>
      <c r="AV150" s="757"/>
      <c r="AW150" s="265"/>
      <c r="AX150" s="73"/>
      <c r="AY150" s="294" t="str">
        <f>Voorblad!Z75</f>
        <v>SI</v>
      </c>
      <c r="AZ150" s="1356"/>
      <c r="BA150" s="1356"/>
    </row>
    <row r="151" spans="25:53" x14ac:dyDescent="0.25">
      <c r="AB151" s="528" t="s">
        <v>299</v>
      </c>
      <c r="AC151" s="529" t="str">
        <f>Taal04!$C$133</f>
        <v>De finale van het toernooi zal worden gespeeld door twee landen die in de groepsfase eerste van de groep zijn geworden.</v>
      </c>
      <c r="AD151" s="454"/>
      <c r="AE151" s="454"/>
      <c r="AF151" s="454"/>
      <c r="AG151" s="454"/>
      <c r="AH151" s="454"/>
      <c r="AI151" s="454"/>
      <c r="AJ151" s="454"/>
      <c r="AK151" s="454"/>
      <c r="AL151" s="454"/>
      <c r="AM151" s="454"/>
      <c r="AN151" s="454"/>
      <c r="AO151" s="535" t="s">
        <v>519</v>
      </c>
      <c r="AP151" s="819">
        <f>COUNTIF(AM153:AM154,"onvoldoende gegevens")</f>
        <v>2</v>
      </c>
      <c r="AQ151" s="537" t="s">
        <v>421</v>
      </c>
      <c r="AR151" s="792" t="str">
        <f>"."&amp;IF(AP52=6,IF(W52=1,AD52,IF(W52=2,AF52,AD52&amp;"."&amp;AF52))&amp;".","")</f>
        <v>.</v>
      </c>
      <c r="AS151" s="792"/>
      <c r="AT151" s="265"/>
      <c r="AU151" s="265"/>
      <c r="AV151" s="757"/>
      <c r="AW151" s="265"/>
      <c r="AX151" s="73"/>
      <c r="AY151" s="294" t="str">
        <f>Voorblad!Z76</f>
        <v>DK</v>
      </c>
      <c r="AZ151" s="1356"/>
      <c r="BA151" s="1356"/>
    </row>
    <row r="152" spans="25:53" x14ac:dyDescent="0.25">
      <c r="AB152" s="454"/>
      <c r="AC152" s="531" t="s">
        <v>1980</v>
      </c>
      <c r="AD152" s="454"/>
      <c r="AE152" s="454" t="s">
        <v>67</v>
      </c>
      <c r="AF152" s="531" t="str">
        <f>SUBSTITUTE("|"&amp;AE140&amp;"|"&amp;AE141&amp;"|"&amp;AE142&amp;"|"&amp;AE143&amp;"|"&amp;AE144&amp;"|"&amp;AE145&amp;"|"&amp;AE146&amp;"|"&amp;AE147&amp;"|","LEEG","XX")</f>
        <v>|FOUT|FOUT|FOUT|FOUT|FOUT|FOUT|YY|ZZ|</v>
      </c>
      <c r="AG152" s="454"/>
      <c r="AH152" s="454"/>
      <c r="AI152" s="454"/>
      <c r="AJ152" s="454"/>
      <c r="AK152" s="454"/>
      <c r="AL152" s="454"/>
      <c r="AM152" s="454"/>
      <c r="AN152" s="454"/>
      <c r="AO152" s="535" t="s">
        <v>520</v>
      </c>
      <c r="AP152" s="819">
        <f>COUNTIF(AM153:AM154,"JA")</f>
        <v>0</v>
      </c>
      <c r="AQ152" s="537" t="s">
        <v>420</v>
      </c>
      <c r="AR152" s="792" t="str">
        <f>"."&amp;IF(AP59=3,AF59&amp;".","")</f>
        <v>.</v>
      </c>
      <c r="AS152" s="792"/>
      <c r="AT152" s="265"/>
      <c r="AU152" s="265"/>
      <c r="AV152" s="757"/>
      <c r="AW152" s="265"/>
      <c r="AX152" s="73"/>
      <c r="AY152" s="294" t="str">
        <f>Voorblad!Z77</f>
        <v>RS</v>
      </c>
      <c r="AZ152" s="1356"/>
      <c r="BA152" s="1356"/>
    </row>
    <row r="153" spans="25:53" x14ac:dyDescent="0.25">
      <c r="AB153" s="454"/>
      <c r="AC153" s="531" t="s">
        <v>2536</v>
      </c>
      <c r="AD153" s="454"/>
      <c r="AE153" s="454" t="s">
        <v>67</v>
      </c>
      <c r="AF153" s="454" t="str">
        <f>IF($AK$56="GOED",$AD$56,$AK$56)</f>
        <v>LEEG</v>
      </c>
      <c r="AG153" s="454"/>
      <c r="AH153" s="454"/>
      <c r="AI153" s="454"/>
      <c r="AJ153" s="454"/>
      <c r="AK153" s="454"/>
      <c r="AL153" s="810" t="s">
        <v>412</v>
      </c>
      <c r="AM153" s="531" t="str">
        <f>IF(OR(AF153="LEEG",AF153="FOUT",AF153="ONGELDIG"),"onvoldoende gegevens",IF(SUBSTITUTE($AF$152,AF153,"##")=$AF$152,"NEE","JA"))</f>
        <v>onvoldoende gegevens</v>
      </c>
      <c r="AN153" s="454"/>
      <c r="AO153" s="535" t="s">
        <v>1129</v>
      </c>
      <c r="AP153" s="819">
        <v>2</v>
      </c>
      <c r="AQ153" s="792"/>
      <c r="AR153" s="792"/>
      <c r="AS153" s="792"/>
      <c r="AT153" s="265"/>
      <c r="AU153" s="265"/>
      <c r="AV153" s="757"/>
      <c r="AW153" s="265"/>
      <c r="AX153" s="73"/>
      <c r="AY153" s="294" t="str">
        <f>Voorblad!Z78</f>
        <v>GB</v>
      </c>
      <c r="AZ153" s="1356"/>
      <c r="BA153" s="1356"/>
    </row>
    <row r="154" spans="25:53" x14ac:dyDescent="0.25">
      <c r="AB154" s="454"/>
      <c r="AC154" s="531" t="s">
        <v>2537</v>
      </c>
      <c r="AD154" s="454"/>
      <c r="AE154" s="454" t="s">
        <v>67</v>
      </c>
      <c r="AF154" s="454" t="str">
        <f>IF($AL$56="GOED",$AF$56,$AL$56)</f>
        <v>LEEG</v>
      </c>
      <c r="AG154" s="454"/>
      <c r="AH154" s="454"/>
      <c r="AI154" s="454"/>
      <c r="AJ154" s="454"/>
      <c r="AK154" s="454"/>
      <c r="AL154" s="810" t="s">
        <v>412</v>
      </c>
      <c r="AM154" s="531" t="str">
        <f>IF(OR(AF154="LEEG",AF154="FOUT",AF154="ONGELDIG"),"onvoldoende gegevens",IF(SUBSTITUTE($AF$152,AF154,"##")=$AF$152,"NEE","JA"))</f>
        <v>onvoldoende gegevens</v>
      </c>
      <c r="AN154" s="454"/>
      <c r="AO154" s="535" t="s">
        <v>521</v>
      </c>
      <c r="AP154" s="819">
        <f>COUNTIF(AM153:AM154,"NEE")</f>
        <v>0</v>
      </c>
      <c r="AQ154" s="793" t="s">
        <v>1104</v>
      </c>
      <c r="AR154" s="757"/>
      <c r="AS154" s="265"/>
      <c r="AT154" s="265"/>
      <c r="AU154" s="265"/>
      <c r="AV154" s="757"/>
      <c r="AW154" s="265"/>
      <c r="AX154" s="73"/>
      <c r="AY154" s="294" t="str">
        <f>Voorblad!Z79</f>
        <v>PL</v>
      </c>
      <c r="AZ154" s="1356"/>
      <c r="BA154" s="1356"/>
    </row>
    <row r="155" spans="25:53" x14ac:dyDescent="0.25">
      <c r="Y155" s="201"/>
      <c r="AB155" s="532"/>
      <c r="AC155" s="532"/>
      <c r="AD155" s="532"/>
      <c r="AE155" s="532"/>
      <c r="AF155" s="532"/>
      <c r="AG155" s="532"/>
      <c r="AH155" s="532"/>
      <c r="AI155" s="532"/>
      <c r="AJ155" s="532"/>
      <c r="AK155" s="532"/>
      <c r="AL155" s="532"/>
      <c r="AM155" s="532"/>
      <c r="AN155" s="814" t="s">
        <v>412</v>
      </c>
      <c r="AO155" s="534" t="str">
        <f>IF(AP152&gt;=AP153,"JA",IF(AP151&gt;0,"onvoldoende gegevens","NEE"))</f>
        <v>onvoldoende gegevens</v>
      </c>
      <c r="AP155" s="539"/>
      <c r="AQ155" s="537">
        <v>1</v>
      </c>
      <c r="AR155" s="792" t="str">
        <f>AO124</f>
        <v>onvoldoende gegevens</v>
      </c>
      <c r="AS155" s="265"/>
      <c r="AT155" s="265"/>
      <c r="AU155" s="265"/>
      <c r="AV155" s="757"/>
      <c r="AW155" s="265"/>
      <c r="AX155" s="73"/>
      <c r="AY155" s="294" t="str">
        <f>Voorblad!Z80</f>
        <v>NL</v>
      </c>
      <c r="AZ155" s="1356"/>
      <c r="BA155" s="1356"/>
    </row>
    <row r="156" spans="25:53" x14ac:dyDescent="0.25">
      <c r="Y156" s="201"/>
      <c r="AB156" s="528">
        <v>7</v>
      </c>
      <c r="AC156" s="529" t="str">
        <f>Taal04!$C$135</f>
        <v>Het land dat zich aan het einde van het toernooi Europees kampioen mag noemen is één van de landen uit groep A, B of C.</v>
      </c>
      <c r="AD156" s="454"/>
      <c r="AE156" s="454"/>
      <c r="AF156" s="454"/>
      <c r="AG156" s="454"/>
      <c r="AH156" s="454"/>
      <c r="AI156" s="454"/>
      <c r="AJ156" s="454"/>
      <c r="AK156" s="454"/>
      <c r="AL156" s="454"/>
      <c r="AM156" s="454"/>
      <c r="AN156" s="454"/>
      <c r="AO156" s="535" t="s">
        <v>519</v>
      </c>
      <c r="AP156" s="819">
        <f>COUNTIF(AM158:AM158,"onvoldoende gegevens")</f>
        <v>1</v>
      </c>
      <c r="AQ156" s="537">
        <f>AQ155+1</f>
        <v>2</v>
      </c>
      <c r="AR156" s="792" t="str">
        <f>AO133</f>
        <v>onvoldoende gegevens</v>
      </c>
      <c r="AS156" s="265"/>
      <c r="AT156" s="265"/>
      <c r="AU156" s="265"/>
      <c r="AV156" s="757"/>
      <c r="AW156" s="265"/>
      <c r="AX156" s="73"/>
      <c r="AY156" s="294" t="str">
        <f>Voorblad!Z81</f>
        <v>AT</v>
      </c>
      <c r="AZ156" s="1356"/>
      <c r="BA156" s="1356"/>
    </row>
    <row r="157" spans="25:53" x14ac:dyDescent="0.25">
      <c r="AB157" s="454"/>
      <c r="AC157" s="531" t="s">
        <v>2538</v>
      </c>
      <c r="AD157" s="454"/>
      <c r="AE157" s="454" t="s">
        <v>67</v>
      </c>
      <c r="AF157" s="531" t="str">
        <f>SUBSTITUTE("|"&amp;Voorblad!$Z$67&amp;"|"&amp;Voorblad!$Z$68&amp;"|"&amp;Voorblad!$Z$69&amp;"|"&amp;Voorblad!$Z$70&amp;"|"&amp;Voorblad!$Z$71&amp;"|"&amp;Voorblad!$Z$72&amp;"|"&amp;Voorblad!$Z$73&amp;"|"&amp;Voorblad!$Z$74&amp;"|"&amp;Voorblad!$Z$75&amp;"|"&amp;Voorblad!$Z$76&amp;"|"&amp;Voorblad!$Z$77&amp;"|"&amp;Voorblad!$Z$78&amp;"|","LEEG","XX")</f>
        <v>|DE|SC|HU|CH|ES|HR|IT|AL|SI|DK|RS|GB|</v>
      </c>
      <c r="AG157" s="454"/>
      <c r="AH157" s="454"/>
      <c r="AI157" s="454"/>
      <c r="AJ157" s="454"/>
      <c r="AK157" s="454"/>
      <c r="AL157" s="454"/>
      <c r="AM157" s="454"/>
      <c r="AN157" s="454"/>
      <c r="AO157" s="535" t="s">
        <v>520</v>
      </c>
      <c r="AP157" s="819">
        <f>COUNTIF(AM158:AM158,"JA")</f>
        <v>0</v>
      </c>
      <c r="AQ157" s="537">
        <f t="shared" ref="AQ157:AQ169" si="37">AQ156+1</f>
        <v>3</v>
      </c>
      <c r="AR157" s="792" t="str">
        <f>AO144</f>
        <v>onvoldoende gegevens</v>
      </c>
      <c r="AS157" s="265"/>
      <c r="AT157" s="73"/>
      <c r="AU157" s="265"/>
      <c r="AV157" s="757"/>
      <c r="AW157" s="265"/>
      <c r="AX157" s="73"/>
      <c r="AY157" s="294" t="str">
        <f>Voorblad!Z82</f>
        <v>FR</v>
      </c>
      <c r="AZ157" s="1356"/>
      <c r="BA157" s="1356"/>
    </row>
    <row r="158" spans="25:53" x14ac:dyDescent="0.25">
      <c r="AB158" s="454"/>
      <c r="AC158" s="531" t="s">
        <v>1133</v>
      </c>
      <c r="AD158" s="454"/>
      <c r="AE158" s="454" t="s">
        <v>67</v>
      </c>
      <c r="AF158" s="454" t="str">
        <f>IF($AL$59="GOED",$AF$59,$AL$59)</f>
        <v>LEEG</v>
      </c>
      <c r="AG158" s="454"/>
      <c r="AH158" s="454"/>
      <c r="AI158" s="454"/>
      <c r="AJ158" s="454"/>
      <c r="AK158" s="454"/>
      <c r="AL158" s="810" t="s">
        <v>412</v>
      </c>
      <c r="AM158" s="531" t="str">
        <f>IF(OR(AF158="LEEG",AF158="FOUT",AF158="ONGELDIG"),"onvoldoende gegevens",IF(SUBSTITUTE($AF$157,AF158,"##")=$AF$157,"NEE","JA"))</f>
        <v>onvoldoende gegevens</v>
      </c>
      <c r="AN158" s="454"/>
      <c r="AO158" s="535" t="s">
        <v>1129</v>
      </c>
      <c r="AP158" s="819">
        <v>1</v>
      </c>
      <c r="AQ158" s="537">
        <f t="shared" si="37"/>
        <v>4</v>
      </c>
      <c r="AR158" s="792" t="str">
        <f>AO150</f>
        <v>onvoldoende gegevens</v>
      </c>
      <c r="AS158" s="265"/>
      <c r="AT158" s="73"/>
      <c r="AU158" s="265"/>
      <c r="AV158" s="757"/>
      <c r="AW158" s="265"/>
      <c r="AX158" s="73"/>
      <c r="AY158" s="294" t="str">
        <f>Voorblad!Z83</f>
        <v>BE</v>
      </c>
      <c r="AZ158" s="1356"/>
      <c r="BA158" s="1356"/>
    </row>
    <row r="159" spans="25:53" x14ac:dyDescent="0.25">
      <c r="AB159" s="454"/>
      <c r="AC159" s="531"/>
      <c r="AD159" s="454"/>
      <c r="AE159" s="454"/>
      <c r="AF159" s="454"/>
      <c r="AG159" s="454"/>
      <c r="AH159" s="454"/>
      <c r="AI159" s="454"/>
      <c r="AJ159" s="454"/>
      <c r="AK159" s="454"/>
      <c r="AL159" s="810"/>
      <c r="AM159" s="531"/>
      <c r="AN159" s="454"/>
      <c r="AO159" s="535" t="s">
        <v>521</v>
      </c>
      <c r="AP159" s="819">
        <f>COUNTIF(AM158:AM158,"NEE")</f>
        <v>0</v>
      </c>
      <c r="AQ159" s="537">
        <f t="shared" si="37"/>
        <v>5</v>
      </c>
      <c r="AR159" s="792" t="str">
        <f>AO155</f>
        <v>onvoldoende gegevens</v>
      </c>
      <c r="AS159" s="265"/>
      <c r="AT159" s="73"/>
      <c r="AU159" s="265"/>
      <c r="AV159" s="757"/>
      <c r="AW159" s="265"/>
      <c r="AX159" s="73"/>
      <c r="AY159" s="294" t="str">
        <f>Voorblad!Z84</f>
        <v>SK</v>
      </c>
      <c r="AZ159" s="1356"/>
      <c r="BA159" s="1356"/>
    </row>
    <row r="160" spans="25:53" x14ac:dyDescent="0.25">
      <c r="AB160" s="532"/>
      <c r="AC160" s="532"/>
      <c r="AD160" s="532"/>
      <c r="AE160" s="532"/>
      <c r="AF160" s="532"/>
      <c r="AG160" s="532"/>
      <c r="AH160" s="532"/>
      <c r="AI160" s="532"/>
      <c r="AJ160" s="532"/>
      <c r="AK160" s="532"/>
      <c r="AL160" s="532"/>
      <c r="AM160" s="532"/>
      <c r="AN160" s="814" t="s">
        <v>412</v>
      </c>
      <c r="AO160" s="534" t="str">
        <f>IF(AP157&gt;=AP158,"JA",IF(AP156&gt;0,"onvoldoende gegevens","NEE"))</f>
        <v>onvoldoende gegevens</v>
      </c>
      <c r="AP160" s="539"/>
      <c r="AQ160" s="537">
        <f t="shared" si="37"/>
        <v>6</v>
      </c>
      <c r="AR160" s="792" t="str">
        <f>AO183</f>
        <v>onvoldoende gegevens</v>
      </c>
      <c r="AS160" s="265"/>
      <c r="AT160" s="73"/>
      <c r="AU160" s="265"/>
      <c r="AV160" s="757"/>
      <c r="AW160" s="265"/>
      <c r="AX160" s="73"/>
      <c r="AY160" s="294" t="str">
        <f>Voorblad!Z85</f>
        <v>RO</v>
      </c>
      <c r="AZ160" s="1356"/>
      <c r="BA160" s="1356"/>
    </row>
    <row r="161" spans="28:53" x14ac:dyDescent="0.25">
      <c r="AB161" s="821" t="s">
        <v>1136</v>
      </c>
      <c r="AC161" s="822" t="str">
        <f>Taal04!$C$136</f>
        <v>De winnaar van het toernooi weet al zijn finalewedstrijden, 4 stuks, te winnen binnen de reguliere speeltijd (inclusief blessuretijd).</v>
      </c>
      <c r="AD161" s="825"/>
      <c r="AE161" s="825"/>
      <c r="AF161" s="825"/>
      <c r="AG161" s="825"/>
      <c r="AH161" s="825"/>
      <c r="AI161" s="825"/>
      <c r="AJ161" s="825"/>
      <c r="AK161" s="825"/>
      <c r="AL161" s="825"/>
      <c r="AM161" s="825"/>
      <c r="AN161" s="825"/>
      <c r="AO161" s="825"/>
      <c r="AP161" s="832"/>
      <c r="AQ161" s="537">
        <f t="shared" si="37"/>
        <v>7</v>
      </c>
      <c r="AR161" s="792" t="str">
        <f>AO160</f>
        <v>onvoldoende gegevens</v>
      </c>
      <c r="AS161" s="265"/>
      <c r="AT161" s="73"/>
      <c r="AU161" s="265"/>
      <c r="AV161" s="757"/>
      <c r="AW161" s="265"/>
      <c r="AX161" s="73"/>
      <c r="AY161" s="294" t="str">
        <f>Voorblad!Z86</f>
        <v>UA</v>
      </c>
      <c r="AZ161" s="1356"/>
      <c r="BA161" s="1356"/>
    </row>
    <row r="162" spans="28:53" x14ac:dyDescent="0.25">
      <c r="AB162" s="833"/>
      <c r="AC162" s="826" t="s">
        <v>1133</v>
      </c>
      <c r="AD162" s="825"/>
      <c r="AE162" s="825" t="s">
        <v>67</v>
      </c>
      <c r="AF162" s="825" t="str">
        <f>IF($AL$59="GOED",$AF$59,$AL$59)</f>
        <v>LEEG</v>
      </c>
      <c r="AG162" s="825"/>
      <c r="AH162" s="837"/>
      <c r="AI162" s="825" t="s">
        <v>67</v>
      </c>
      <c r="AJ162" s="826" t="str">
        <f>IF(AO59="FOUT","onvoldoende gegevens","GOED")</f>
        <v>onvoldoende gegevens</v>
      </c>
      <c r="AK162" s="825"/>
      <c r="AL162" s="825"/>
      <c r="AM162" s="825"/>
      <c r="AN162" s="825"/>
      <c r="AO162" s="823" t="s">
        <v>1131</v>
      </c>
      <c r="AP162" s="824" t="str">
        <f>IF(AND(Reglement!$Q$81=1,Reglement!$H$90=2),"JA","NEE")</f>
        <v>NEE</v>
      </c>
      <c r="AQ162" s="537">
        <f t="shared" si="37"/>
        <v>8</v>
      </c>
      <c r="AR162" s="792" t="str">
        <f>AO167</f>
        <v>onvoldoende gegevens</v>
      </c>
      <c r="AS162" s="265"/>
      <c r="AT162" s="73"/>
      <c r="AU162" s="265"/>
      <c r="AV162" s="757"/>
      <c r="AW162" s="265"/>
      <c r="AX162" s="73"/>
      <c r="AY162" s="294" t="str">
        <f>Voorblad!Z87</f>
        <v>TR</v>
      </c>
      <c r="AZ162" s="1356"/>
      <c r="BA162" s="1356"/>
    </row>
    <row r="163" spans="28:53" x14ac:dyDescent="0.25">
      <c r="AB163" s="825" t="s">
        <v>1147</v>
      </c>
      <c r="AC163" s="826" t="s">
        <v>1146</v>
      </c>
      <c r="AD163" s="825"/>
      <c r="AE163" s="825" t="s">
        <v>67</v>
      </c>
      <c r="AF163" s="825">
        <f>IF(AND($AL$59="GOED",OR($AF$162=AD14,$AF$162=AF14,$AF$162=AD16,$AF$162=AF16,$AF$162=AD18,$AF$162=AF18,$AF$162=AD20,$AF$162=AF20,$AF$162=AD22,$AF$162=AF22,$AF$162=AD24,$AF$162=AF24,$AF$162=AD26,$AF$162=AF26,$AF$162=AD28,$AF$162=AF28)),1,0)</f>
        <v>0</v>
      </c>
      <c r="AG163" s="825" t="s">
        <v>465</v>
      </c>
      <c r="AH163" s="836" t="str">
        <f>IF($AL$59="GOED",IF(AO14="FOUT",0,IF($AF$59=AD14,IF(W14=1,1,0),0)+IF($AF$59=AF14,IF(W14=2,1,0),0))+IF(AO16="FOUT",0,IF($AF$59=AD16,IF(W16=1,1,0),0)+IF($AF$59=AF16,IF(W16=2,1,0),0))+IF(AO18="FOUT",0,IF($AF$59=AD18,IF(W18=1,1,0),0)+IF($AF$59=AF18,IF(W18=2,1,0),0))+IF(AO20="FOUT",0,IF($AF$59=AD20,IF(W20=1,1,0),0)+IF($AF$59=AF20,IF(W20=2,1,0),0))+IF(AO22="FOUT",0,IF($AF$59=AD22,IF(W22=1,1,0),0)+IF($AF$59=AF22,IF(W22=2,1,0),0))+IF(AO24="FOUT",0,IF($AF$59=AD24,IF(W24=1,1,0),0)+IF($AF$59=AF24,IF(W24=2,1,0),0))+IF(AO26="FOUT",0,IF($AF$59=AD26,IF(W26=1,1,0),0)+IF($AF$59=AF26,IF(W26=2,1,0),0))+IF(AO28="FOUT",0,IF($AF$59=AD28,IF(W28=1,1,0),0)+IF($AF$59=AF28,IF(W28=2,1,0),0)),"")</f>
        <v/>
      </c>
      <c r="AI163" s="825" t="s">
        <v>67</v>
      </c>
      <c r="AJ163" s="826" t="str">
        <f>IF(COUNTIF(AO14:AO28,"FOUT"&gt;0),"onvoldoende gegevens",IF(AF163=0,"geen suggestie mogelijk","GOED"))</f>
        <v>geen suggestie mogelijk</v>
      </c>
      <c r="AK163" s="825"/>
      <c r="AL163" s="825"/>
      <c r="AM163" s="825"/>
      <c r="AN163" s="825"/>
      <c r="AO163" s="823" t="s">
        <v>519</v>
      </c>
      <c r="AP163" s="824">
        <f>COUNTIF(AJ162:AJ166,"onvoldoende gegevens")</f>
        <v>4</v>
      </c>
      <c r="AQ163" s="537">
        <f t="shared" si="37"/>
        <v>9</v>
      </c>
      <c r="AR163" s="792" t="str">
        <f>AO171</f>
        <v>zie werkblad bonusvragen</v>
      </c>
      <c r="AS163" s="265"/>
      <c r="AT163" s="73"/>
      <c r="AU163" s="265"/>
      <c r="AV163" s="757"/>
      <c r="AW163" s="265"/>
      <c r="AX163" s="73"/>
      <c r="AY163" s="294" t="str">
        <f>Voorblad!Z88</f>
        <v>GE</v>
      </c>
      <c r="AZ163" s="1356"/>
      <c r="BA163" s="1356"/>
    </row>
    <row r="164" spans="28:53" x14ac:dyDescent="0.25">
      <c r="AB164" s="825" t="s">
        <v>1148</v>
      </c>
      <c r="AC164" s="826" t="s">
        <v>1146</v>
      </c>
      <c r="AD164" s="825"/>
      <c r="AE164" s="825" t="s">
        <v>67</v>
      </c>
      <c r="AF164" s="825">
        <f>IF(AND($AL$59="GOED",OR($AF$162=AD36,$AF$162=AF36,$AF$162=AD38,$AF$162=AF38,$AF$162=AD40,$AF$162=AF40,$AF$162=AD42,$AF$162=AF42)),1,0)</f>
        <v>0</v>
      </c>
      <c r="AG164" s="825" t="s">
        <v>465</v>
      </c>
      <c r="AH164" s="836" t="str">
        <f>IF($AL$59="GOED",IF(AO36="FOUT",0,IF($AF$59=AD36,IF(W36=1,1,0),0)+IF($AF$59=AF36,IF(W36=2,1,0),0))+IF(AO38="FOUT",0,IF($AF$59=AD38,IF(W38=1,1,0),0)+IF($AF$59=AF38,IF(W38=2,1,0),0))+IF(AO40="FOUT",0,IF($AF$59=AD40,IF(W40=1,1,0),0)+IF($AF$59=AF40,IF(W40=2,1,0),0))+IF(AO42="FOUT",0,IF($AF$59=AD42,IF(W42=1,1,0),0)+IF($AF$59=AF42,IF(W42=2,1,0),0)),"")</f>
        <v/>
      </c>
      <c r="AI164" s="825" t="s">
        <v>67</v>
      </c>
      <c r="AJ164" s="826" t="str">
        <f>IF(COUNTIF(AO36:AO42,"FOUT")&gt;0,"onvoldoende gegevens",IF(AF164=0,"geen suggestie mogelijk","GOED"))</f>
        <v>onvoldoende gegevens</v>
      </c>
      <c r="AK164" s="825"/>
      <c r="AL164" s="825"/>
      <c r="AM164" s="825"/>
      <c r="AN164" s="825"/>
      <c r="AO164" s="823" t="s">
        <v>1134</v>
      </c>
      <c r="AP164" s="824">
        <f>COUNTIF(AH163:AH166,1)</f>
        <v>0</v>
      </c>
      <c r="AQ164" s="537">
        <f t="shared" si="37"/>
        <v>10</v>
      </c>
      <c r="AR164" s="792" t="str">
        <f>AO178</f>
        <v>geen suggestie mogelijk</v>
      </c>
      <c r="AS164" s="265"/>
      <c r="AT164" s="73"/>
      <c r="AU164" s="265"/>
      <c r="AV164" s="757"/>
      <c r="AW164" s="265"/>
      <c r="AX164" s="73"/>
      <c r="AY164" s="294" t="str">
        <f>Voorblad!Z89</f>
        <v>PT</v>
      </c>
      <c r="AZ164" s="1356"/>
      <c r="BA164" s="1356"/>
    </row>
    <row r="165" spans="28:53" x14ac:dyDescent="0.25">
      <c r="AB165" s="825" t="s">
        <v>1149</v>
      </c>
      <c r="AC165" s="826" t="s">
        <v>1146</v>
      </c>
      <c r="AD165" s="825"/>
      <c r="AE165" s="825" t="s">
        <v>67</v>
      </c>
      <c r="AF165" s="825">
        <f>IF(AND($AL$59="GOED",OR($AF$162=AD46,$AF$162=AF46,$AF$162=AD48,$AF$162=AF48)),1,0)</f>
        <v>0</v>
      </c>
      <c r="AG165" s="825" t="s">
        <v>465</v>
      </c>
      <c r="AH165" s="836" t="str">
        <f>IF($AL$59="GOED",IF(AO46="FOUT",0,IF($AF$59=AD46,IF(W46&gt;=1,1,0),0)+IF($AF$59=AF46,IF(W46=2,1,0),0))+IF(AO48="FOUT",0,IF($AF$59=AD48,IF(W48=1,1,0),0)+IF($AF$59=AF48,IF(W48=2,1,0),0)),"")</f>
        <v/>
      </c>
      <c r="AI165" s="825" t="s">
        <v>67</v>
      </c>
      <c r="AJ165" s="826" t="str">
        <f>IF(COUNTIF(AO46:AO48,"FOUT")&gt;0,"onvoldoende gegevens",IF(AF165=0,"geen suggestie mogelijk","GOED"))</f>
        <v>onvoldoende gegevens</v>
      </c>
      <c r="AK165" s="825"/>
      <c r="AL165" s="825"/>
      <c r="AM165" s="825" t="str">
        <f>IF(COUNTIF(AJ162:AJ166,"onvoldoende gegevens")&gt;0,"onvoldoende gegevens",IF(COUNTIF(AJ162:AJ166,"geen suggestie mogelijk")&gt;0,"geen suggestie mogelijk",IF(AP162="NEE",IF(AP164&gt;=AP165,"JA","NEE"),IF(AP166&gt;0,"NEE","geen suggestie mogelijk"))))</f>
        <v>onvoldoende gegevens</v>
      </c>
      <c r="AN165" s="825"/>
      <c r="AO165" s="823" t="s">
        <v>1150</v>
      </c>
      <c r="AP165" s="824">
        <v>4</v>
      </c>
      <c r="AQ165" s="537">
        <f t="shared" si="37"/>
        <v>11</v>
      </c>
      <c r="AR165" s="792" t="str">
        <f>AO178</f>
        <v>geen suggestie mogelijk</v>
      </c>
      <c r="AS165" s="265"/>
      <c r="AT165" s="73"/>
      <c r="AU165" s="265"/>
      <c r="AV165" s="757"/>
      <c r="AW165" s="265"/>
      <c r="AX165" s="73"/>
      <c r="AY165" s="294" t="str">
        <f>Voorblad!Z90</f>
        <v>CZ</v>
      </c>
      <c r="AZ165" s="1356"/>
      <c r="BA165" s="1356"/>
    </row>
    <row r="166" spans="28:53" x14ac:dyDescent="0.25">
      <c r="AB166" s="825" t="s">
        <v>480</v>
      </c>
      <c r="AC166" s="826" t="s">
        <v>1146</v>
      </c>
      <c r="AD166" s="825"/>
      <c r="AE166" s="825" t="s">
        <v>67</v>
      </c>
      <c r="AF166" s="825">
        <f>IF(AND($AL$59="GOED",OR($AF$162=AD56,$AF$162=AF56)),1,0)</f>
        <v>0</v>
      </c>
      <c r="AG166" s="825" t="s">
        <v>465</v>
      </c>
      <c r="AH166" s="836" t="str">
        <f>IF($AL$59="GOED",IF(AO56="FOUT",0,IF($AF$59=AD56,IF(W56=1,1,0),0)+IF($AF$59=AF56,IF(W56=2,1,0),0)),"")</f>
        <v/>
      </c>
      <c r="AI166" s="825" t="s">
        <v>67</v>
      </c>
      <c r="AJ166" s="826" t="str">
        <f>IF(AO56="FOUT","onvoldoende gegevens",IF(AF166=0,"geen suggestie mogelijk","GOED"))</f>
        <v>onvoldoende gegevens</v>
      </c>
      <c r="AK166" s="825"/>
      <c r="AL166" s="825"/>
      <c r="AM166" s="825"/>
      <c r="AN166" s="825"/>
      <c r="AO166" s="823" t="s">
        <v>1135</v>
      </c>
      <c r="AP166" s="824">
        <f>COUNTIF(AH163:AH166,0)</f>
        <v>0</v>
      </c>
      <c r="AQ166" s="537">
        <f t="shared" si="37"/>
        <v>12</v>
      </c>
      <c r="AR166" s="792" t="str">
        <f>AO171</f>
        <v>zie werkblad bonusvragen</v>
      </c>
      <c r="AS166" s="265"/>
      <c r="AT166" s="73"/>
      <c r="AU166" s="265"/>
      <c r="AV166" s="757"/>
      <c r="AW166" s="265"/>
      <c r="AX166" s="73"/>
      <c r="AY166" s="294" t="str">
        <f>Voorblad!Z91</f>
        <v>ZA</v>
      </c>
      <c r="AZ166" s="1356"/>
      <c r="BA166" s="1356"/>
    </row>
    <row r="167" spans="28:53" x14ac:dyDescent="0.25">
      <c r="AB167" s="834"/>
      <c r="AC167" s="827"/>
      <c r="AD167" s="827"/>
      <c r="AE167" s="827"/>
      <c r="AF167" s="829"/>
      <c r="AG167" s="827"/>
      <c r="AH167" s="828"/>
      <c r="AI167" s="827"/>
      <c r="AJ167" s="827"/>
      <c r="AK167" s="827"/>
      <c r="AL167" s="827"/>
      <c r="AM167" s="835" t="s">
        <v>1145</v>
      </c>
      <c r="AN167" s="830" t="s">
        <v>412</v>
      </c>
      <c r="AO167" s="534" t="str">
        <f>IF(COUNTIF(AJ162:AJ166,"onvoldoende gegevens")&gt;0,"onvoldoende gegevens",IF(COUNTIF(AJ162:AJ166,"geen suggestie mogelijk")&gt;0,"geen suggestie mogelijk",IF(AP162="XX",IF(AP166&gt;0,"NEE","geen suggestie mogelijk"),IF(AP164&gt;=AP165,"JA","NEE"))))</f>
        <v>onvoldoende gegevens</v>
      </c>
      <c r="AP167" s="831"/>
      <c r="AQ167" s="537">
        <f t="shared" si="37"/>
        <v>13</v>
      </c>
      <c r="AR167" s="792" t="str">
        <f>AO178</f>
        <v>geen suggestie mogelijk</v>
      </c>
      <c r="AS167" s="265"/>
      <c r="AT167" s="73"/>
      <c r="AU167" s="265"/>
      <c r="AV167" s="757"/>
      <c r="AW167" s="265"/>
      <c r="AX167" s="73"/>
      <c r="AY167" s="294" t="str">
        <f>Voorblad!Z92</f>
        <v>ZB</v>
      </c>
      <c r="AZ167" s="1356"/>
      <c r="BA167" s="1356"/>
    </row>
    <row r="168" spans="28:53" x14ac:dyDescent="0.25">
      <c r="AB168" s="815" t="s">
        <v>1137</v>
      </c>
      <c r="AC168" s="529" t="str">
        <f>Taal04!$C$137</f>
        <v>De winnaar van het toernooi heeft een beter doelsaldo dan de andere teams. In geval van een gelijk doelsaldo zijn de gescoorde doelpunten doorslaggevend.</v>
      </c>
      <c r="AD168" s="454"/>
      <c r="AE168" s="454"/>
      <c r="AF168" s="820"/>
      <c r="AG168" s="454"/>
      <c r="AH168" s="531"/>
      <c r="AI168" s="454"/>
      <c r="AJ168" s="454"/>
      <c r="AK168" s="454"/>
      <c r="AL168" s="454"/>
      <c r="AM168" s="454"/>
      <c r="AN168" s="454"/>
      <c r="AO168" s="454"/>
      <c r="AP168" s="811"/>
      <c r="AQ168" s="537">
        <f t="shared" si="37"/>
        <v>14</v>
      </c>
      <c r="AR168" s="792" t="str">
        <f>AO171</f>
        <v>zie werkblad bonusvragen</v>
      </c>
      <c r="AS168" s="265"/>
      <c r="AT168" s="73"/>
      <c r="AU168" s="265"/>
      <c r="AV168" s="757"/>
      <c r="AW168" s="265"/>
      <c r="AX168" s="73"/>
      <c r="AY168" s="294" t="str">
        <f>Voorblad!Z93</f>
        <v>ZC</v>
      </c>
      <c r="AZ168" s="1356"/>
      <c r="BA168" s="1356"/>
    </row>
    <row r="169" spans="28:53" x14ac:dyDescent="0.25">
      <c r="AB169" s="815" t="s">
        <v>1140</v>
      </c>
      <c r="AC169" s="536" t="str">
        <f>Taal04!$C$140</f>
        <v>Alle 24 deelnemende landen weten elk minimaal één keer te scoren gedurende het toernooi.</v>
      </c>
      <c r="AD169" s="454"/>
      <c r="AE169" s="454"/>
      <c r="AF169" s="454"/>
      <c r="AG169" s="454"/>
      <c r="AH169" s="454"/>
      <c r="AI169" s="454"/>
      <c r="AJ169" s="454"/>
      <c r="AK169" s="454"/>
      <c r="AL169" s="454"/>
      <c r="AM169" s="454"/>
      <c r="AN169" s="454"/>
      <c r="AO169" s="454"/>
      <c r="AP169" s="811"/>
      <c r="AQ169" s="537">
        <f t="shared" si="37"/>
        <v>15</v>
      </c>
      <c r="AR169" s="792" t="str">
        <f>AO178</f>
        <v>geen suggestie mogelijk</v>
      </c>
      <c r="AS169" s="265"/>
      <c r="AT169" s="73"/>
      <c r="AU169" s="265"/>
      <c r="AV169" s="757"/>
      <c r="AW169" s="265"/>
      <c r="AX169" s="73"/>
      <c r="AY169" s="294" t="str">
        <f>Voorblad!Z94</f>
        <v>ZD</v>
      </c>
      <c r="AZ169" s="1356"/>
      <c r="BA169" s="1356"/>
    </row>
    <row r="170" spans="28:53" x14ac:dyDescent="0.25">
      <c r="AB170" s="815" t="s">
        <v>1142</v>
      </c>
      <c r="AC170" s="536" t="str">
        <f>Taal04!$C$142</f>
        <v>Gedurende het toernooi worden er niet meer dan zes doelpunten gescoord in één wedstrijd (inclusief een eventuele verlenging).</v>
      </c>
      <c r="AD170" s="454"/>
      <c r="AE170" s="454"/>
      <c r="AF170" s="454"/>
      <c r="AG170" s="454"/>
      <c r="AH170" s="454"/>
      <c r="AI170" s="454"/>
      <c r="AJ170" s="454"/>
      <c r="AK170" s="454"/>
      <c r="AL170" s="454"/>
      <c r="AM170" s="454"/>
      <c r="AN170" s="454"/>
      <c r="AO170" s="454"/>
      <c r="AP170" s="811"/>
      <c r="AQ170" s="265"/>
      <c r="AR170" s="757"/>
      <c r="AS170" s="265"/>
      <c r="AT170" s="73"/>
      <c r="AU170" s="265"/>
      <c r="AV170" s="757"/>
      <c r="AW170" s="265"/>
      <c r="AX170" s="73"/>
      <c r="AY170" s="294" t="str">
        <f>Voorblad!Z95</f>
        <v>ZE</v>
      </c>
      <c r="AZ170" s="1356"/>
      <c r="BA170" s="1356"/>
    </row>
    <row r="171" spans="28:53" x14ac:dyDescent="0.25">
      <c r="AB171" s="922"/>
      <c r="AC171" s="532"/>
      <c r="AD171" s="532"/>
      <c r="AE171" s="532"/>
      <c r="AF171" s="532"/>
      <c r="AG171" s="532"/>
      <c r="AH171" s="532"/>
      <c r="AI171" s="532"/>
      <c r="AJ171" s="532"/>
      <c r="AK171" s="532"/>
      <c r="AL171" s="532"/>
      <c r="AM171" s="532"/>
      <c r="AN171" s="814" t="s">
        <v>412</v>
      </c>
      <c r="AO171" s="534" t="s">
        <v>1144</v>
      </c>
      <c r="AP171" s="539"/>
      <c r="AQ171" s="265"/>
      <c r="AR171" s="757"/>
      <c r="AS171" s="265"/>
      <c r="AT171" s="73"/>
      <c r="AU171" s="265"/>
      <c r="AV171" s="757"/>
      <c r="AW171" s="265"/>
      <c r="AX171" s="73"/>
      <c r="AY171" s="294" t="str">
        <f>Voorblad!Z96</f>
        <v>ZF</v>
      </c>
      <c r="AZ171" s="1356"/>
      <c r="BA171" s="1356"/>
    </row>
    <row r="172" spans="28:53" x14ac:dyDescent="0.25">
      <c r="AB172" s="528" t="s">
        <v>1138</v>
      </c>
      <c r="AC172" s="529" t="str">
        <f>Taal04!$C$135</f>
        <v>Het land dat zich aan het einde van het toernooi Europees kampioen mag noemen is één van de landen uit groep A, B of C.</v>
      </c>
      <c r="AD172" s="454"/>
      <c r="AE172" s="454"/>
      <c r="AF172" s="454"/>
      <c r="AG172" s="454"/>
      <c r="AH172" s="454"/>
      <c r="AI172" s="454"/>
      <c r="AJ172" s="454"/>
      <c r="AK172" s="454"/>
      <c r="AL172" s="454"/>
      <c r="AM172" s="454"/>
      <c r="AN172" s="454"/>
      <c r="AO172" s="454"/>
      <c r="AP172" s="811"/>
      <c r="AQ172" s="265"/>
      <c r="AR172" s="757"/>
      <c r="AS172" s="265"/>
      <c r="AT172" s="73"/>
      <c r="AU172" s="265"/>
      <c r="AV172" s="757"/>
      <c r="AW172" s="265"/>
      <c r="AX172" s="73"/>
      <c r="AY172" s="294" t="str">
        <f>Voorblad!Z97</f>
        <v>ZG</v>
      </c>
      <c r="AZ172" s="1356"/>
      <c r="BA172" s="1356"/>
    </row>
    <row r="173" spans="28:53" x14ac:dyDescent="0.25">
      <c r="AB173" s="815" t="s">
        <v>1139</v>
      </c>
      <c r="AC173" s="536" t="str">
        <f>Taal04!$C$139</f>
        <v>Tijdens het toernooi weet een speler in één wedstrijd drie keer of meer te scoren, oftewel een hattrick. Benutte penalty's tijdens een strafschoppenserie tellen niet mee.</v>
      </c>
      <c r="AD173" s="454"/>
      <c r="AE173" s="454"/>
      <c r="AF173" s="454"/>
      <c r="AG173" s="454"/>
      <c r="AH173" s="454"/>
      <c r="AI173" s="454"/>
      <c r="AJ173" s="454"/>
      <c r="AK173" s="454"/>
      <c r="AL173" s="454"/>
      <c r="AM173" s="454"/>
      <c r="AN173" s="454"/>
      <c r="AO173" s="454"/>
      <c r="AP173" s="811"/>
      <c r="AQ173" s="265"/>
      <c r="AR173" s="757"/>
      <c r="AS173" s="265"/>
      <c r="AT173" s="73"/>
      <c r="AU173" s="265"/>
      <c r="AV173" s="757"/>
      <c r="AW173" s="265"/>
      <c r="AX173" s="73"/>
      <c r="AY173" s="294" t="str">
        <f>Voorblad!Z98</f>
        <v>ZH</v>
      </c>
      <c r="AZ173" s="1356"/>
      <c r="BA173" s="1356"/>
    </row>
    <row r="174" spans="28:53" x14ac:dyDescent="0.25">
      <c r="AB174" s="815" t="s">
        <v>1141</v>
      </c>
      <c r="AC174" s="536" t="str">
        <f>Taal04!$C$141</f>
        <v>Van alle gescoorde doelpunten tijdens het toernooi worden er minimaal vijf in eigen doel gescoord.</v>
      </c>
      <c r="AD174" s="454"/>
      <c r="AE174" s="454"/>
      <c r="AF174" s="454"/>
      <c r="AG174" s="454"/>
      <c r="AH174" s="454"/>
      <c r="AI174" s="454"/>
      <c r="AJ174" s="454"/>
      <c r="AK174" s="454"/>
      <c r="AL174" s="454"/>
      <c r="AM174" s="454"/>
      <c r="AN174" s="454"/>
      <c r="AO174" s="454"/>
      <c r="AP174" s="811"/>
      <c r="AQ174" s="73"/>
      <c r="AR174" s="73"/>
      <c r="AS174" s="73"/>
      <c r="AT174" s="73"/>
      <c r="AU174" s="73"/>
      <c r="AV174" s="73"/>
      <c r="AW174" s="73"/>
      <c r="AX174" s="73"/>
      <c r="AY174" s="73"/>
      <c r="AZ174" s="73"/>
      <c r="BA174" s="73"/>
    </row>
    <row r="175" spans="28:53" x14ac:dyDescent="0.25">
      <c r="AB175" s="815" t="s">
        <v>1143</v>
      </c>
      <c r="AC175" s="536" t="str">
        <f>Taal04!$C$143</f>
        <v>Gedurende het toernooi weet de scheidsrechter in twee of meerdere wedstrijden zijn kaarten op zak te houden.</v>
      </c>
      <c r="AD175" s="454"/>
      <c r="AE175" s="454"/>
      <c r="AF175" s="454"/>
      <c r="AG175" s="454"/>
      <c r="AH175" s="454"/>
      <c r="AI175" s="454"/>
      <c r="AJ175" s="454"/>
      <c r="AK175" s="454"/>
      <c r="AL175" s="454"/>
      <c r="AM175" s="454"/>
      <c r="AN175" s="454"/>
      <c r="AO175" s="454"/>
      <c r="AP175" s="811"/>
      <c r="AQ175" s="73"/>
      <c r="AR175" s="73"/>
      <c r="AS175" s="73"/>
      <c r="AT175" s="73"/>
      <c r="AU175" s="73"/>
      <c r="AV175" s="73"/>
      <c r="AW175" s="73"/>
      <c r="AX175" s="73"/>
      <c r="AY175" s="73"/>
      <c r="AZ175" s="73"/>
      <c r="BA175" s="73"/>
    </row>
    <row r="176" spans="28:53" x14ac:dyDescent="0.25">
      <c r="AB176" s="815"/>
      <c r="AC176" s="536"/>
      <c r="AD176" s="454"/>
      <c r="AE176" s="454"/>
      <c r="AF176" s="454"/>
      <c r="AG176" s="454"/>
      <c r="AH176" s="454"/>
      <c r="AI176" s="454"/>
      <c r="AJ176" s="454"/>
      <c r="AK176" s="454"/>
      <c r="AL176" s="454"/>
      <c r="AM176" s="454"/>
      <c r="AN176" s="454"/>
      <c r="AO176" s="454"/>
      <c r="AP176" s="811"/>
      <c r="AQ176" s="73"/>
      <c r="AR176" s="73"/>
      <c r="AS176" s="73"/>
      <c r="AT176" s="73"/>
      <c r="AU176" s="73"/>
      <c r="AV176" s="73"/>
      <c r="AW176" s="73"/>
      <c r="AX176" s="73"/>
      <c r="AY176" s="73"/>
      <c r="AZ176" s="73"/>
      <c r="BA176" s="73"/>
    </row>
    <row r="177" spans="28:53" x14ac:dyDescent="0.25">
      <c r="AB177" s="815"/>
      <c r="AC177" s="536"/>
      <c r="AD177" s="454"/>
      <c r="AE177" s="454"/>
      <c r="AF177" s="454"/>
      <c r="AG177" s="454"/>
      <c r="AH177" s="454"/>
      <c r="AI177" s="454"/>
      <c r="AJ177" s="454"/>
      <c r="AK177" s="454"/>
      <c r="AL177" s="454"/>
      <c r="AM177" s="454"/>
      <c r="AN177" s="454"/>
      <c r="AO177" s="454"/>
      <c r="AP177" s="811"/>
      <c r="AQ177" s="73"/>
      <c r="AR177" s="73"/>
      <c r="AS177" s="73"/>
      <c r="AT177" s="73"/>
      <c r="AU177" s="73"/>
      <c r="AV177" s="73"/>
      <c r="AW177" s="73"/>
      <c r="AX177" s="73"/>
      <c r="AY177" s="73"/>
      <c r="AZ177" s="73"/>
      <c r="BA177" s="73"/>
    </row>
    <row r="178" spans="28:53" ht="15" customHeight="1" x14ac:dyDescent="0.25">
      <c r="AB178" s="532"/>
      <c r="AC178" s="532"/>
      <c r="AD178" s="532"/>
      <c r="AE178" s="532"/>
      <c r="AF178" s="532"/>
      <c r="AG178" s="532"/>
      <c r="AH178" s="532"/>
      <c r="AI178" s="532"/>
      <c r="AJ178" s="532"/>
      <c r="AK178" s="532"/>
      <c r="AL178" s="532"/>
      <c r="AM178" s="532"/>
      <c r="AN178" s="814" t="s">
        <v>412</v>
      </c>
      <c r="AO178" s="534" t="s">
        <v>317</v>
      </c>
      <c r="AP178" s="539"/>
      <c r="AQ178" s="73"/>
      <c r="AR178" s="73"/>
      <c r="AS178" s="73"/>
      <c r="AT178" s="73"/>
      <c r="AU178" s="73"/>
      <c r="AV178" s="73"/>
      <c r="AW178" s="73"/>
      <c r="AX178" s="73"/>
      <c r="AY178" s="73"/>
      <c r="AZ178" s="73"/>
      <c r="BA178" s="73"/>
    </row>
    <row r="179" spans="28:53" x14ac:dyDescent="0.25">
      <c r="AB179" s="528" t="s">
        <v>1132</v>
      </c>
      <c r="AC179" s="529" t="str">
        <f>Taal04!$C$134</f>
        <v>Tijdens EURO 2020 stonden Engeland en Italië in de finale tegenover elkaar. Één of beide teams weten ook deze editie weer te finale te bereiken.</v>
      </c>
      <c r="AD179" s="454"/>
      <c r="AE179" s="454"/>
      <c r="AF179" s="454"/>
      <c r="AG179" s="454"/>
      <c r="AH179" s="454"/>
      <c r="AI179" s="454"/>
      <c r="AJ179" s="454"/>
      <c r="AK179" s="454"/>
      <c r="AL179" s="454"/>
      <c r="AM179" s="454"/>
      <c r="AN179" s="454"/>
      <c r="AO179" s="535" t="s">
        <v>519</v>
      </c>
      <c r="AP179" s="819">
        <f>COUNTIF(AM181:AM182,"onvoldoende gegevens")</f>
        <v>2</v>
      </c>
      <c r="AQ179" s="44"/>
      <c r="AR179" s="44"/>
      <c r="AS179" s="44"/>
      <c r="AU179" s="44"/>
      <c r="AV179" s="44"/>
      <c r="AW179" s="44"/>
      <c r="AY179" s="44"/>
      <c r="AZ179" s="44"/>
      <c r="BA179" s="44"/>
    </row>
    <row r="180" spans="28:53" x14ac:dyDescent="0.25">
      <c r="AB180" s="454"/>
      <c r="AC180" s="531" t="s">
        <v>2545</v>
      </c>
      <c r="AD180" s="454"/>
      <c r="AE180" s="454" t="s">
        <v>67</v>
      </c>
      <c r="AF180" s="531" t="str">
        <f>SUBSTITUTE("|"&amp;AE122&amp;"|"&amp;AE124&amp;"|","LEEG","XX")</f>
        <v>|GB|IT|</v>
      </c>
      <c r="AG180" s="454"/>
      <c r="AH180" s="454"/>
      <c r="AI180" s="454"/>
      <c r="AJ180" s="454"/>
      <c r="AK180" s="454"/>
      <c r="AL180" s="454"/>
      <c r="AM180" s="454"/>
      <c r="AN180" s="454"/>
      <c r="AO180" s="535" t="s">
        <v>520</v>
      </c>
      <c r="AP180" s="819">
        <f>COUNTIF(AM181:AM182,"JA")</f>
        <v>0</v>
      </c>
      <c r="AQ180" s="44"/>
      <c r="AR180" s="44"/>
      <c r="AS180" s="44"/>
      <c r="AU180" s="44"/>
      <c r="AV180" s="44"/>
      <c r="AW180" s="44"/>
      <c r="AY180" s="44"/>
      <c r="AZ180" s="44"/>
      <c r="BA180" s="44"/>
    </row>
    <row r="181" spans="28:53" x14ac:dyDescent="0.25">
      <c r="AB181" s="454"/>
      <c r="AC181" s="531" t="s">
        <v>2536</v>
      </c>
      <c r="AD181" s="454"/>
      <c r="AE181" s="454" t="s">
        <v>67</v>
      </c>
      <c r="AF181" s="454" t="str">
        <f>IF($AK$56="GOED",$AD$56,$AK$56)</f>
        <v>LEEG</v>
      </c>
      <c r="AG181" s="454"/>
      <c r="AH181" s="454"/>
      <c r="AI181" s="454"/>
      <c r="AJ181" s="454"/>
      <c r="AK181" s="454"/>
      <c r="AL181" s="810" t="s">
        <v>412</v>
      </c>
      <c r="AM181" s="531" t="str">
        <f>IF(OR(AF181="LEEG",AF181="FOUT",AF181="ONGELDIG"),"onvoldoende gegevens",IF(SUBSTITUTE($AF$152,AF181,"##")=$AF$152,"NEE","JA"))</f>
        <v>onvoldoende gegevens</v>
      </c>
      <c r="AN181" s="454"/>
      <c r="AO181" s="535" t="s">
        <v>1129</v>
      </c>
      <c r="AP181" s="819">
        <v>1</v>
      </c>
      <c r="AQ181" s="44"/>
      <c r="AR181" s="44"/>
      <c r="AS181" s="44"/>
      <c r="AU181" s="44"/>
      <c r="AV181" s="44"/>
      <c r="AW181" s="44"/>
      <c r="AY181" s="44"/>
      <c r="AZ181" s="44"/>
      <c r="BA181" s="44"/>
    </row>
    <row r="182" spans="28:53" x14ac:dyDescent="0.25">
      <c r="AB182" s="454"/>
      <c r="AC182" s="531" t="s">
        <v>2537</v>
      </c>
      <c r="AD182" s="454"/>
      <c r="AE182" s="454" t="s">
        <v>67</v>
      </c>
      <c r="AF182" s="454" t="str">
        <f>IF($AL$56="GOED",$AF$56,$AL$56)</f>
        <v>LEEG</v>
      </c>
      <c r="AG182" s="454"/>
      <c r="AH182" s="454"/>
      <c r="AI182" s="454"/>
      <c r="AJ182" s="454"/>
      <c r="AK182" s="454"/>
      <c r="AL182" s="810" t="s">
        <v>412</v>
      </c>
      <c r="AM182" s="531" t="str">
        <f>IF(OR(AF182="LEEG",AF182="FOUT",AF182="ONGELDIG"),"onvoldoende gegevens",IF(SUBSTITUTE($AF$152,AF182,"##")=$AF$152,"NEE","JA"))</f>
        <v>onvoldoende gegevens</v>
      </c>
      <c r="AN182" s="454"/>
      <c r="AO182" s="535" t="s">
        <v>521</v>
      </c>
      <c r="AP182" s="819">
        <f>COUNTIF(AM181:AM182,"NEE")</f>
        <v>0</v>
      </c>
      <c r="AW182" s="44"/>
      <c r="AY182" s="44"/>
      <c r="AZ182" s="44"/>
      <c r="BA182" s="44"/>
    </row>
    <row r="183" spans="28:53" x14ac:dyDescent="0.25">
      <c r="AB183" s="532"/>
      <c r="AC183" s="532"/>
      <c r="AD183" s="532"/>
      <c r="AE183" s="532"/>
      <c r="AF183" s="532"/>
      <c r="AG183" s="532"/>
      <c r="AH183" s="532"/>
      <c r="AI183" s="532"/>
      <c r="AJ183" s="532"/>
      <c r="AK183" s="532"/>
      <c r="AL183" s="532"/>
      <c r="AM183" s="532"/>
      <c r="AN183" s="814" t="s">
        <v>412</v>
      </c>
      <c r="AO183" s="534" t="str">
        <f>IF(AP180&gt;=AP181,"JA",IF(AP179&gt;0,"onvoldoende gegevens","NEE"))</f>
        <v>onvoldoende gegevens</v>
      </c>
      <c r="AP183" s="539"/>
      <c r="AW183" s="44"/>
      <c r="AY183" s="44"/>
      <c r="AZ183" s="44"/>
      <c r="BA183" s="44"/>
    </row>
    <row r="184" spans="28:53" x14ac:dyDescent="0.25">
      <c r="AP184" s="44"/>
      <c r="AW184" s="44"/>
      <c r="AY184" s="44"/>
      <c r="AZ184" s="44"/>
      <c r="BA184" s="44"/>
    </row>
    <row r="185" spans="28:53" x14ac:dyDescent="0.25">
      <c r="AP185" s="44"/>
      <c r="AW185" s="44"/>
      <c r="AY185" s="44"/>
      <c r="AZ185" s="44"/>
      <c r="BA185" s="44"/>
    </row>
    <row r="186" spans="28:53" x14ac:dyDescent="0.25">
      <c r="AP186" s="44"/>
      <c r="AW186" s="44"/>
      <c r="AY186" s="44"/>
      <c r="AZ186" s="44"/>
      <c r="BA186" s="44"/>
    </row>
    <row r="187" spans="28:53" x14ac:dyDescent="0.25">
      <c r="AP187" s="44"/>
      <c r="AW187" s="44"/>
      <c r="AY187" s="44"/>
      <c r="AZ187" s="44"/>
      <c r="BA187" s="44"/>
    </row>
    <row r="188" spans="28:53" x14ac:dyDescent="0.25">
      <c r="AP188" s="44"/>
      <c r="AW188" s="44"/>
      <c r="AY188" s="44"/>
      <c r="AZ188" s="44"/>
      <c r="BA188" s="44"/>
    </row>
    <row r="189" spans="28:53" x14ac:dyDescent="0.25">
      <c r="AW189" s="44"/>
      <c r="AY189" s="44"/>
      <c r="AZ189" s="44"/>
      <c r="BA189" s="44"/>
    </row>
  </sheetData>
  <sheetProtection algorithmName="SHA-512" hashValue="TpWv9Njbco7emsN/nCxHMahpJACUywI4dlwJgHivZDyUdy2XeCte4sAReNT3+H2UBb/Q+otg6LqgISaykgXASw==" saltValue="/yi3G0c2eMEZXZxKYu1Fzg==" spinCount="100000" sheet="1" objects="1" scenarios="1" selectLockedCells="1"/>
  <dataConsolidate/>
  <mergeCells count="315">
    <mergeCell ref="AQ140:AX142"/>
    <mergeCell ref="BC2:BG4"/>
    <mergeCell ref="AC112:AF112"/>
    <mergeCell ref="AG112:AJ112"/>
    <mergeCell ref="AK112:AL112"/>
    <mergeCell ref="AM112:AO112"/>
    <mergeCell ref="G14:K14"/>
    <mergeCell ref="O14:T14"/>
    <mergeCell ref="G16:K16"/>
    <mergeCell ref="O16:T16"/>
    <mergeCell ref="G18:K18"/>
    <mergeCell ref="O18:T18"/>
    <mergeCell ref="G20:K20"/>
    <mergeCell ref="O20:T20"/>
    <mergeCell ref="G22:K22"/>
    <mergeCell ref="O22:T22"/>
    <mergeCell ref="G24:K24"/>
    <mergeCell ref="O24:T24"/>
    <mergeCell ref="G26:K26"/>
    <mergeCell ref="O26:T26"/>
    <mergeCell ref="G28:K28"/>
    <mergeCell ref="O28:T28"/>
    <mergeCell ref="G36:K36"/>
    <mergeCell ref="O36:T36"/>
    <mergeCell ref="AC105:AD105"/>
    <mergeCell ref="AE105:AF105"/>
    <mergeCell ref="AG105:AH105"/>
    <mergeCell ref="AI105:AJ105"/>
    <mergeCell ref="AM105:AN105"/>
    <mergeCell ref="AC101:AD101"/>
    <mergeCell ref="AE101:AF101"/>
    <mergeCell ref="AG101:AH101"/>
    <mergeCell ref="AI101:AJ101"/>
    <mergeCell ref="AM101:AN101"/>
    <mergeCell ref="AC102:AD102"/>
    <mergeCell ref="AE102:AF102"/>
    <mergeCell ref="AG102:AH102"/>
    <mergeCell ref="AI102:AJ102"/>
    <mergeCell ref="AM102:AN102"/>
    <mergeCell ref="AC103:AD103"/>
    <mergeCell ref="AE103:AF103"/>
    <mergeCell ref="AG103:AH103"/>
    <mergeCell ref="AI103:AJ103"/>
    <mergeCell ref="AM103:AN103"/>
    <mergeCell ref="AC106:AD106"/>
    <mergeCell ref="AE106:AF106"/>
    <mergeCell ref="AG106:AH106"/>
    <mergeCell ref="AI106:AJ106"/>
    <mergeCell ref="AM106:AN106"/>
    <mergeCell ref="AC108:AD108"/>
    <mergeCell ref="AE108:AF108"/>
    <mergeCell ref="AG108:AH108"/>
    <mergeCell ref="AI108:AJ108"/>
    <mergeCell ref="AM108:AN108"/>
    <mergeCell ref="AC109:AD109"/>
    <mergeCell ref="AE109:AF109"/>
    <mergeCell ref="AG109:AH109"/>
    <mergeCell ref="AI109:AJ109"/>
    <mergeCell ref="AM109:AN109"/>
    <mergeCell ref="AC111:AF111"/>
    <mergeCell ref="AG111:AJ111"/>
    <mergeCell ref="AK111:AL111"/>
    <mergeCell ref="AM111:AO111"/>
    <mergeCell ref="AC98:AD98"/>
    <mergeCell ref="AE98:AF98"/>
    <mergeCell ref="AG98:AH98"/>
    <mergeCell ref="AI98:AJ98"/>
    <mergeCell ref="AM98:AN98"/>
    <mergeCell ref="AC99:AD99"/>
    <mergeCell ref="AE99:AF99"/>
    <mergeCell ref="AG99:AH99"/>
    <mergeCell ref="AI99:AJ99"/>
    <mergeCell ref="AM99:AN99"/>
    <mergeCell ref="AC96:AD96"/>
    <mergeCell ref="AE96:AF96"/>
    <mergeCell ref="AG96:AH96"/>
    <mergeCell ref="AI96:AJ96"/>
    <mergeCell ref="AM96:AN96"/>
    <mergeCell ref="AC97:AD97"/>
    <mergeCell ref="AE97:AF97"/>
    <mergeCell ref="AG97:AH97"/>
    <mergeCell ref="AI97:AJ97"/>
    <mergeCell ref="AM97:AN97"/>
    <mergeCell ref="AC93:AD93"/>
    <mergeCell ref="AE93:AF93"/>
    <mergeCell ref="AG93:AH93"/>
    <mergeCell ref="AI93:AJ93"/>
    <mergeCell ref="AM93:AN93"/>
    <mergeCell ref="AC95:AD95"/>
    <mergeCell ref="AE95:AF95"/>
    <mergeCell ref="AG95:AH95"/>
    <mergeCell ref="AI95:AJ95"/>
    <mergeCell ref="AM95:AN95"/>
    <mergeCell ref="AC91:AD91"/>
    <mergeCell ref="AE91:AF91"/>
    <mergeCell ref="AG91:AH91"/>
    <mergeCell ref="AI91:AJ91"/>
    <mergeCell ref="AM91:AN91"/>
    <mergeCell ref="AC92:AD92"/>
    <mergeCell ref="AE92:AF92"/>
    <mergeCell ref="AG92:AH92"/>
    <mergeCell ref="AI92:AJ92"/>
    <mergeCell ref="AM92:AN92"/>
    <mergeCell ref="AC89:AD89"/>
    <mergeCell ref="AE89:AF89"/>
    <mergeCell ref="AG89:AH89"/>
    <mergeCell ref="AI89:AJ89"/>
    <mergeCell ref="AM89:AN89"/>
    <mergeCell ref="AC90:AD90"/>
    <mergeCell ref="AE90:AF90"/>
    <mergeCell ref="AG90:AH90"/>
    <mergeCell ref="AI90:AJ90"/>
    <mergeCell ref="AM90:AN90"/>
    <mergeCell ref="AC87:AD87"/>
    <mergeCell ref="AE87:AF87"/>
    <mergeCell ref="AG87:AH87"/>
    <mergeCell ref="AI87:AJ87"/>
    <mergeCell ref="AM87:AN87"/>
    <mergeCell ref="AC88:AD88"/>
    <mergeCell ref="AE88:AF88"/>
    <mergeCell ref="AG88:AH88"/>
    <mergeCell ref="AI88:AJ88"/>
    <mergeCell ref="AM88:AN88"/>
    <mergeCell ref="AC85:AD85"/>
    <mergeCell ref="AE85:AF85"/>
    <mergeCell ref="AG85:AH85"/>
    <mergeCell ref="AI85:AJ85"/>
    <mergeCell ref="AM85:AN85"/>
    <mergeCell ref="AC86:AD86"/>
    <mergeCell ref="AE86:AF86"/>
    <mergeCell ref="AG86:AH86"/>
    <mergeCell ref="AI86:AJ86"/>
    <mergeCell ref="AM86:AN86"/>
    <mergeCell ref="AK33:AO34"/>
    <mergeCell ref="AK11:AO12"/>
    <mergeCell ref="AZ142:AZ173"/>
    <mergeCell ref="BA142:BA173"/>
    <mergeCell ref="AC80:AD80"/>
    <mergeCell ref="AE80:AF80"/>
    <mergeCell ref="AG80:AH80"/>
    <mergeCell ref="AI80:AJ80"/>
    <mergeCell ref="AM80:AN80"/>
    <mergeCell ref="AC81:AD81"/>
    <mergeCell ref="AE81:AF81"/>
    <mergeCell ref="AG81:AH81"/>
    <mergeCell ref="AI81:AJ81"/>
    <mergeCell ref="AM81:AN81"/>
    <mergeCell ref="AC78:AD78"/>
    <mergeCell ref="AE78:AF78"/>
    <mergeCell ref="AG78:AH78"/>
    <mergeCell ref="AI78:AJ78"/>
    <mergeCell ref="AM78:AN78"/>
    <mergeCell ref="AC79:AD79"/>
    <mergeCell ref="AE79:AF79"/>
    <mergeCell ref="AG79:AH79"/>
    <mergeCell ref="AI79:AJ79"/>
    <mergeCell ref="AM79:AN79"/>
    <mergeCell ref="AC76:AD76"/>
    <mergeCell ref="AE76:AF76"/>
    <mergeCell ref="AG76:AH76"/>
    <mergeCell ref="AI76:AJ76"/>
    <mergeCell ref="AM76:AN76"/>
    <mergeCell ref="AC77:AD77"/>
    <mergeCell ref="AE77:AF77"/>
    <mergeCell ref="AG77:AH77"/>
    <mergeCell ref="AI77:AJ77"/>
    <mergeCell ref="AM77:AN77"/>
    <mergeCell ref="AC74:AD74"/>
    <mergeCell ref="AE74:AF74"/>
    <mergeCell ref="AG74:AH74"/>
    <mergeCell ref="AI74:AJ74"/>
    <mergeCell ref="AM74:AN74"/>
    <mergeCell ref="AC75:AD75"/>
    <mergeCell ref="AE75:AF75"/>
    <mergeCell ref="AG75:AH75"/>
    <mergeCell ref="AI75:AJ75"/>
    <mergeCell ref="AM75:AN75"/>
    <mergeCell ref="AC73:AD73"/>
    <mergeCell ref="AE73:AF73"/>
    <mergeCell ref="AG73:AH73"/>
    <mergeCell ref="AI73:AJ73"/>
    <mergeCell ref="AM73:AN73"/>
    <mergeCell ref="O60:U60"/>
    <mergeCell ref="AE60:AF60"/>
    <mergeCell ref="AB63:AI65"/>
    <mergeCell ref="AL68:AP69"/>
    <mergeCell ref="AL66:AO67"/>
    <mergeCell ref="AL70:AO70"/>
    <mergeCell ref="AL71:AM71"/>
    <mergeCell ref="S59:Y59"/>
    <mergeCell ref="D58:H60"/>
    <mergeCell ref="G57:L57"/>
    <mergeCell ref="O57:U57"/>
    <mergeCell ref="AC57:AD57"/>
    <mergeCell ref="AE57:AF57"/>
    <mergeCell ref="AE53:AF53"/>
    <mergeCell ref="AK54:AO54"/>
    <mergeCell ref="G55:U55"/>
    <mergeCell ref="W55:Y55"/>
    <mergeCell ref="W56:Y56"/>
    <mergeCell ref="G56:K56"/>
    <mergeCell ref="O56:T56"/>
    <mergeCell ref="G53:L53"/>
    <mergeCell ref="O53:U53"/>
    <mergeCell ref="AC53:AD53"/>
    <mergeCell ref="W52:Y52"/>
    <mergeCell ref="G49:L49"/>
    <mergeCell ref="O49:U49"/>
    <mergeCell ref="AC49:AD49"/>
    <mergeCell ref="G52:K52"/>
    <mergeCell ref="O52:T52"/>
    <mergeCell ref="AE49:AF49"/>
    <mergeCell ref="AK50:AO50"/>
    <mergeCell ref="G51:U51"/>
    <mergeCell ref="W51:Y51"/>
    <mergeCell ref="G47:L47"/>
    <mergeCell ref="O47:U47"/>
    <mergeCell ref="AC47:AD47"/>
    <mergeCell ref="AE47:AF47"/>
    <mergeCell ref="W48:Y48"/>
    <mergeCell ref="G48:K48"/>
    <mergeCell ref="O48:T48"/>
    <mergeCell ref="AK44:AO44"/>
    <mergeCell ref="G45:U45"/>
    <mergeCell ref="W45:Y45"/>
    <mergeCell ref="W46:Y46"/>
    <mergeCell ref="AE41:AF41"/>
    <mergeCell ref="G43:L43"/>
    <mergeCell ref="O43:U43"/>
    <mergeCell ref="AC43:AD43"/>
    <mergeCell ref="AE43:AF43"/>
    <mergeCell ref="W42:Y42"/>
    <mergeCell ref="G42:K42"/>
    <mergeCell ref="O42:T42"/>
    <mergeCell ref="G46:K46"/>
    <mergeCell ref="O46:T46"/>
    <mergeCell ref="G41:L41"/>
    <mergeCell ref="O41:U41"/>
    <mergeCell ref="AC41:AD41"/>
    <mergeCell ref="W40:Y40"/>
    <mergeCell ref="AE37:AF37"/>
    <mergeCell ref="G39:L39"/>
    <mergeCell ref="O39:U39"/>
    <mergeCell ref="AC39:AD39"/>
    <mergeCell ref="AE39:AF39"/>
    <mergeCell ref="W38:Y38"/>
    <mergeCell ref="G40:K40"/>
    <mergeCell ref="O40:T40"/>
    <mergeCell ref="G37:L37"/>
    <mergeCell ref="O37:U37"/>
    <mergeCell ref="AC37:AD37"/>
    <mergeCell ref="O38:T38"/>
    <mergeCell ref="G38:K38"/>
    <mergeCell ref="W28:Y28"/>
    <mergeCell ref="G25:L25"/>
    <mergeCell ref="O25:U25"/>
    <mergeCell ref="AC25:AD25"/>
    <mergeCell ref="AE25:AF25"/>
    <mergeCell ref="W26:Y26"/>
    <mergeCell ref="W36:Y36"/>
    <mergeCell ref="G29:L29"/>
    <mergeCell ref="O29:U29"/>
    <mergeCell ref="AC29:AD29"/>
    <mergeCell ref="E31:Y31"/>
    <mergeCell ref="E32:Y32"/>
    <mergeCell ref="D33:Y33"/>
    <mergeCell ref="O30:Y30"/>
    <mergeCell ref="AE29:AF29"/>
    <mergeCell ref="G35:U35"/>
    <mergeCell ref="W35:Y35"/>
    <mergeCell ref="W24:Y24"/>
    <mergeCell ref="G21:L21"/>
    <mergeCell ref="O21:U21"/>
    <mergeCell ref="AC21:AD21"/>
    <mergeCell ref="AE21:AF21"/>
    <mergeCell ref="W22:Y22"/>
    <mergeCell ref="G27:L27"/>
    <mergeCell ref="O27:U27"/>
    <mergeCell ref="AC27:AD27"/>
    <mergeCell ref="AE27:AF27"/>
    <mergeCell ref="W20:Y20"/>
    <mergeCell ref="W18:Y18"/>
    <mergeCell ref="G15:L15"/>
    <mergeCell ref="O15:U15"/>
    <mergeCell ref="AC15:AD15"/>
    <mergeCell ref="AE15:AF15"/>
    <mergeCell ref="W16:Y16"/>
    <mergeCell ref="G23:L23"/>
    <mergeCell ref="O23:U23"/>
    <mergeCell ref="AC23:AD23"/>
    <mergeCell ref="AE23:AF23"/>
    <mergeCell ref="AB115:AP116"/>
    <mergeCell ref="L9:Y11"/>
    <mergeCell ref="D9:J9"/>
    <mergeCell ref="D11:K12"/>
    <mergeCell ref="AQ2:BA3"/>
    <mergeCell ref="AK5:AO6"/>
    <mergeCell ref="AP5:AP6"/>
    <mergeCell ref="G13:U13"/>
    <mergeCell ref="W13:Y13"/>
    <mergeCell ref="W14:Y14"/>
    <mergeCell ref="AB2:AG4"/>
    <mergeCell ref="AH2:AJ4"/>
    <mergeCell ref="AK2:AO4"/>
    <mergeCell ref="AQ4:BA4"/>
    <mergeCell ref="AH5:AJ5"/>
    <mergeCell ref="AH8:AJ10"/>
    <mergeCell ref="G17:L17"/>
    <mergeCell ref="O17:U17"/>
    <mergeCell ref="AC17:AD17"/>
    <mergeCell ref="AE17:AF17"/>
    <mergeCell ref="G19:L19"/>
    <mergeCell ref="O19:U19"/>
    <mergeCell ref="AC19:AD19"/>
    <mergeCell ref="AE19:AF19"/>
  </mergeCells>
  <conditionalFormatting sqref="D3 Y3 D5 D63 Y63">
    <cfRule type="expression" dxfId="35" priority="1">
      <formula>$A$1="A255255255"</formula>
    </cfRule>
    <cfRule type="expression" dxfId="34" priority="2">
      <formula>$A$1="A000000000"</formula>
    </cfRule>
  </conditionalFormatting>
  <conditionalFormatting sqref="D7">
    <cfRule type="expression" dxfId="33" priority="3">
      <formula>OR($AI$6=0,$AJ$62=1)</formula>
    </cfRule>
  </conditionalFormatting>
  <conditionalFormatting sqref="G14:L14 G16:L16 G18:L18 G20:L20 G22:L22 G24:L24 G26:L26 G28:L28 G36:L36 G38:L38 G40:L40 G42:L42 G46:L46 G48:L48 G52:L52 G56:L56">
    <cfRule type="expression" dxfId="32" priority="31">
      <formula>$AK14="ONGELDIG"</formula>
    </cfRule>
    <cfRule type="expression" dxfId="31" priority="32">
      <formula>$AK14="LEEG"</formula>
    </cfRule>
    <cfRule type="expression" dxfId="30" priority="33">
      <formula>$AK14="GOED"</formula>
    </cfRule>
  </conditionalFormatting>
  <conditionalFormatting sqref="O14:U14 O16:U16 O18:U18 O20:U20 O22:U22 O24:U24 O26:U26 O28:U28 O36:U36 O38:U38 O40:U40 O42:U42 O46:U46 O48:U48 O52:U52 O56:U56 K59:Y59">
    <cfRule type="expression" dxfId="29" priority="34">
      <formula>$AL14="ONGELDIG"</formula>
    </cfRule>
    <cfRule type="expression" dxfId="28" priority="35">
      <formula>$AL14="LEEG"</formula>
    </cfRule>
    <cfRule type="expression" dxfId="27" priority="36">
      <formula>$AL14="GOED"</formula>
    </cfRule>
  </conditionalFormatting>
  <conditionalFormatting sqref="W14 W16 W18 W20 W22 W24 W26 W28 W36 W38 W40 W42 W46 W48 W52 W56">
    <cfRule type="expression" dxfId="26" priority="37">
      <formula>$AN14="ONGELDIG"</formula>
    </cfRule>
    <cfRule type="expression" dxfId="25" priority="48">
      <formula>$AN14="LEEG"</formula>
    </cfRule>
    <cfRule type="expression" dxfId="24" priority="49">
      <formula>$AN14="GOED"</formula>
    </cfRule>
  </conditionalFormatting>
  <dataValidations count="28">
    <dataValidation type="list" allowBlank="1" showInputMessage="1" showErrorMessage="1" sqref="D9" xr:uid="{00000000-0002-0000-1300-000000000000}">
      <formula1>$AC$6:$AC$8</formula1>
    </dataValidation>
    <dataValidation type="list" allowBlank="1" showInputMessage="1" showErrorMessage="1" sqref="U28 L24" xr:uid="{00000000-0002-0000-1300-000001000000}">
      <formula1>$AQ$38:$AQ$42</formula1>
    </dataValidation>
    <dataValidation type="list" allowBlank="1" showInputMessage="1" showErrorMessage="1" sqref="U24" xr:uid="{00000000-0002-0000-1300-000002000000}">
      <formula1>$AW$10:$AW$27</formula1>
    </dataValidation>
    <dataValidation type="list" allowBlank="1" showInputMessage="1" showErrorMessage="1" sqref="L16 L14" xr:uid="{00000000-0002-0000-1300-000003000000}">
      <formula1>$AQ$13:$AQ$17</formula1>
    </dataValidation>
    <dataValidation type="list" allowBlank="1" showInputMessage="1" showErrorMessage="1" sqref="L20 U14" xr:uid="{00000000-0002-0000-1300-000004000000}">
      <formula1>$AQ$18:$AQ$22</formula1>
    </dataValidation>
    <dataValidation type="list" allowBlank="1" showInputMessage="1" showErrorMessage="1" sqref="U16 L18" xr:uid="{00000000-0002-0000-1300-000005000000}">
      <formula1>$AQ$23:$AQ$27</formula1>
    </dataValidation>
    <dataValidation type="list" allowBlank="1" showInputMessage="1" showErrorMessage="1" sqref="L28 L22" xr:uid="{00000000-0002-0000-1300-000006000000}">
      <formula1>$AQ$28:$AQ$32</formula1>
    </dataValidation>
    <dataValidation type="list" allowBlank="1" showInputMessage="1" showErrorMessage="1" sqref="U22 L26" xr:uid="{00000000-0002-0000-1300-000009000000}">
      <formula1>$AQ$33:$AQ$37</formula1>
    </dataValidation>
    <dataValidation type="list" allowBlank="1" showInputMessage="1" showErrorMessage="1" sqref="U48" xr:uid="{00000000-0002-0000-1300-000013000000}">
      <formula1>$AY$72:$AY$105</formula1>
    </dataValidation>
    <dataValidation type="list" allowBlank="1" showInputMessage="1" showErrorMessage="1" sqref="L48" xr:uid="{00000000-0002-0000-1300-000014000000}">
      <formula1>$AW$72:$AW$105</formula1>
    </dataValidation>
    <dataValidation type="list" allowBlank="1" showInputMessage="1" showErrorMessage="1" sqref="U46" xr:uid="{00000000-0002-0000-1300-000015000000}">
      <formula1>$AU$72:$AU$105</formula1>
    </dataValidation>
    <dataValidation type="list" allowBlank="1" showInputMessage="1" showErrorMessage="1" sqref="L46" xr:uid="{00000000-0002-0000-1300-000016000000}">
      <formula1>$AS$72:$AS$105</formula1>
    </dataValidation>
    <dataValidation type="list" allowBlank="1" showInputMessage="1" showErrorMessage="1" sqref="U52" xr:uid="{00000000-0002-0000-1300-000017000000}">
      <formula1>$AU$106:$AU$139</formula1>
    </dataValidation>
    <dataValidation type="list" allowBlank="1" showInputMessage="1" showErrorMessage="1" sqref="L52" xr:uid="{00000000-0002-0000-1300-000018000000}">
      <formula1>$AS$106:$AS$139</formula1>
    </dataValidation>
    <dataValidation type="list" allowBlank="1" showInputMessage="1" showErrorMessage="1" sqref="U56" xr:uid="{00000000-0002-0000-1300-000019000000}">
      <formula1>$AY$106:$AY$139</formula1>
    </dataValidation>
    <dataValidation type="list" allowBlank="1" showInputMessage="1" showErrorMessage="1" sqref="L56" xr:uid="{00000000-0002-0000-1300-00001A000000}">
      <formula1>$AW$106:$AW$139</formula1>
    </dataValidation>
    <dataValidation type="list" allowBlank="1" showInputMessage="1" showErrorMessage="1" sqref="S59:Y59" xr:uid="{00000000-0002-0000-1300-00001B000000}">
      <formula1>$AQ$106:$AQ$139</formula1>
    </dataValidation>
    <dataValidation type="list" allowBlank="1" showInputMessage="1" showErrorMessage="1" sqref="U38" xr:uid="{00000000-0002-0000-1300-00000F000000}">
      <formula1>$AY$28:$AY$49</formula1>
    </dataValidation>
    <dataValidation type="list" allowBlank="1" showInputMessage="1" showErrorMessage="1" sqref="L38" xr:uid="{00000000-0002-0000-1300-000010000000}">
      <formula1>$AW$28:$AW$49</formula1>
    </dataValidation>
    <dataValidation type="list" allowBlank="1" showInputMessage="1" showErrorMessage="1" sqref="U36" xr:uid="{00000000-0002-0000-1300-000011000000}">
      <formula1>$AU$28:$AU$49</formula1>
    </dataValidation>
    <dataValidation type="list" allowBlank="1" showInputMessage="1" showErrorMessage="1" sqref="L36" xr:uid="{00000000-0002-0000-1300-000012000000}">
      <formula1>$AS$28:$AS$49</formula1>
    </dataValidation>
    <dataValidation type="list" allowBlank="1" showInputMessage="1" showErrorMessage="1" sqref="U42" xr:uid="{00000000-0002-0000-1300-00000B000000}">
      <formula1>$AY$50:$AY$71</formula1>
    </dataValidation>
    <dataValidation type="list" allowBlank="1" showInputMessage="1" showErrorMessage="1" sqref="U40" xr:uid="{00000000-0002-0000-1300-00000C000000}">
      <formula1>$AU$50:$AU$71</formula1>
    </dataValidation>
    <dataValidation type="list" allowBlank="1" showInputMessage="1" showErrorMessage="1" sqref="L42" xr:uid="{00000000-0002-0000-1300-00000D000000}">
      <formula1>$AW$50:$AW$71</formula1>
    </dataValidation>
    <dataValidation type="list" allowBlank="1" showInputMessage="1" showErrorMessage="1" sqref="L40" xr:uid="{00000000-0002-0000-1300-00000E000000}">
      <formula1>$AS$50:$AS$71</formula1>
    </dataValidation>
    <dataValidation type="list" allowBlank="1" showInputMessage="1" showErrorMessage="1" sqref="U18" xr:uid="{0E945244-B346-492D-A408-DC0302EF61B0}">
      <formula1>$AS$10:$AS$27</formula1>
    </dataValidation>
    <dataValidation type="list" allowBlank="1" showInputMessage="1" showErrorMessage="1" sqref="U20" xr:uid="{92E99DE7-89CA-4B35-B1B2-CBCBC7E5F45F}">
      <formula1>$AU$10:$AU$27</formula1>
    </dataValidation>
    <dataValidation type="list" allowBlank="1" showInputMessage="1" showErrorMessage="1" sqref="U26" xr:uid="{C6EE4D94-22F9-4F95-AD16-FB0B9DD48E70}">
      <formula1>$AY$10:$AY$27</formula1>
    </dataValidation>
  </dataValidations>
  <hyperlinks>
    <hyperlink ref="D33" r:id="rId1" display="www.excel-pool.nl/4beste3" xr:uid="{00000000-0004-0000-13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7">
    <tabColor rgb="FF0050A0"/>
  </sheetPr>
  <dimension ref="A1:AM154"/>
  <sheetViews>
    <sheetView showRowColHeaders="0" tabSelected="1"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9.7109375" style="44" customWidth="1"/>
    <col min="13" max="13" width="2.7109375" style="44" customWidth="1"/>
    <col min="14" max="14" width="14.7109375" style="44" customWidth="1"/>
    <col min="15" max="17" width="2.7109375" style="44" customWidth="1"/>
    <col min="18" max="18" width="4.7109375" style="201" customWidth="1"/>
    <col min="19" max="19" width="16.7109375" style="49"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38" width="8.7109375" style="44" hidden="1" customWidth="1"/>
    <col min="39" max="16384" width="9.140625" style="44"/>
  </cols>
  <sheetData>
    <row r="1" spans="1:39" ht="15" customHeight="1" x14ac:dyDescent="0.25">
      <c r="A1" s="94" t="str">
        <f>Voorblad!A1</f>
        <v>A255255255</v>
      </c>
      <c r="B1" s="94" t="str">
        <f>Voorblad!B1</f>
        <v>B000080160</v>
      </c>
      <c r="C1" s="94" t="str">
        <f>Voorblad!C1</f>
        <v>C150200250</v>
      </c>
      <c r="D1" s="94" t="str">
        <f>Voorblad!D1</f>
        <v>D000080160</v>
      </c>
      <c r="E1" s="94" t="str">
        <f>Voorblad!E1</f>
        <v>E000080160</v>
      </c>
      <c r="R1" s="44"/>
      <c r="Y1" s="318"/>
      <c r="Z1" s="318"/>
      <c r="AA1" s="318"/>
      <c r="AB1" s="318"/>
      <c r="AC1" s="318"/>
      <c r="AD1" s="318"/>
      <c r="AE1" s="318"/>
      <c r="AF1" s="318"/>
      <c r="AG1" s="318"/>
      <c r="AH1" s="318"/>
      <c r="AI1" s="318"/>
      <c r="AJ1" s="318"/>
      <c r="AK1" s="318"/>
      <c r="AL1" s="318"/>
      <c r="AM1" s="318"/>
    </row>
    <row r="2" spans="1:39" ht="15" customHeight="1" x14ac:dyDescent="0.25">
      <c r="B2" s="17"/>
      <c r="C2" s="108"/>
      <c r="D2" s="108"/>
      <c r="E2" s="108"/>
      <c r="F2" s="108"/>
      <c r="G2" s="108"/>
      <c r="H2" s="108"/>
      <c r="I2" s="108"/>
      <c r="J2" s="108"/>
      <c r="K2" s="108"/>
      <c r="L2" s="108"/>
      <c r="M2" s="108"/>
      <c r="N2" s="108"/>
      <c r="O2" s="108"/>
      <c r="P2" s="108"/>
      <c r="Q2" s="17"/>
      <c r="R2" s="44"/>
      <c r="S2" s="48"/>
      <c r="T2" s="46"/>
      <c r="U2" s="1144" t="str">
        <f ca="1">Taal01!$B$42</f>
        <v>Bonusvragen</v>
      </c>
      <c r="V2" s="1144"/>
      <c r="W2" s="1144"/>
      <c r="X2" s="1144"/>
      <c r="Y2" s="1144"/>
      <c r="Z2" s="318"/>
      <c r="AA2" s="1408" t="s">
        <v>1161</v>
      </c>
      <c r="AB2" s="1408"/>
      <c r="AC2" s="1408"/>
      <c r="AD2" s="1408"/>
      <c r="AE2" s="1408"/>
      <c r="AF2" s="1408"/>
      <c r="AG2" s="1408"/>
      <c r="AH2" s="1408"/>
      <c r="AI2" s="1408"/>
      <c r="AJ2" s="1408"/>
      <c r="AK2" s="1408"/>
      <c r="AL2" s="1408"/>
    </row>
    <row r="3" spans="1:39" ht="15" customHeight="1" x14ac:dyDescent="0.25">
      <c r="B3" s="17"/>
      <c r="C3" s="1075"/>
      <c r="D3" s="1090" t="str">
        <f ca="1">Taal04!B7&amp;" - "&amp;Taal04!B11</f>
        <v>Excel Deelname Formulier - Bonusvragen</v>
      </c>
      <c r="E3" s="1090"/>
      <c r="F3" s="1090"/>
      <c r="G3" s="1090"/>
      <c r="H3" s="1090"/>
      <c r="I3" s="1090"/>
      <c r="J3" s="1090"/>
      <c r="K3" s="1090"/>
      <c r="L3" s="1090"/>
      <c r="M3" s="1090"/>
      <c r="N3" s="1090"/>
      <c r="O3" s="1091" t="str">
        <f ca="1">IF(Reglement!M3="","",Reglement!M3)</f>
        <v>EURO 2024: EK Polo-poule</v>
      </c>
      <c r="P3" s="1079"/>
      <c r="Q3" s="17"/>
      <c r="R3" s="44"/>
      <c r="S3" s="319" t="str">
        <f ca="1">Taal04!B34</f>
        <v>suggesties altijd weergeven</v>
      </c>
      <c r="T3" s="46"/>
      <c r="U3" s="1144"/>
      <c r="V3" s="1144"/>
      <c r="W3" s="1144"/>
      <c r="X3" s="1144"/>
      <c r="Y3" s="1144"/>
      <c r="Z3" s="318"/>
      <c r="AA3" s="286" t="s">
        <v>64</v>
      </c>
      <c r="AB3" s="289" t="s">
        <v>142</v>
      </c>
      <c r="AC3" s="290" t="s">
        <v>340</v>
      </c>
      <c r="AD3" s="1413" t="s">
        <v>318</v>
      </c>
      <c r="AE3" s="1413"/>
      <c r="AF3" s="1413"/>
      <c r="AG3" s="1414" t="s">
        <v>319</v>
      </c>
      <c r="AH3" s="1414"/>
      <c r="AI3" s="1414"/>
      <c r="AJ3" s="1407" t="s">
        <v>1151</v>
      </c>
      <c r="AK3" s="1407"/>
      <c r="AL3" s="1407"/>
    </row>
    <row r="4" spans="1:39" ht="15" customHeight="1" x14ac:dyDescent="0.25">
      <c r="B4" s="17"/>
      <c r="C4" s="16"/>
      <c r="D4" s="16"/>
      <c r="E4" s="16"/>
      <c r="F4" s="16"/>
      <c r="G4" s="16"/>
      <c r="H4" s="16"/>
      <c r="I4" s="16"/>
      <c r="J4" s="16"/>
      <c r="K4" s="16"/>
      <c r="L4" s="16"/>
      <c r="M4" s="16"/>
      <c r="N4" s="16"/>
      <c r="O4" s="16"/>
      <c r="P4" s="16"/>
      <c r="Q4" s="17"/>
      <c r="R4" s="44"/>
      <c r="S4" s="319" t="str">
        <f ca="1">Taal04!B35</f>
        <v>suggesties verbergen na keuze</v>
      </c>
      <c r="T4" s="46"/>
      <c r="U4" s="1144"/>
      <c r="V4" s="1144"/>
      <c r="W4" s="1144"/>
      <c r="X4" s="1144"/>
      <c r="Y4" s="1144"/>
      <c r="Z4" s="318"/>
      <c r="AA4" s="314"/>
      <c r="AB4" s="315"/>
      <c r="AC4" s="316"/>
      <c r="AD4" s="794" t="s">
        <v>320</v>
      </c>
      <c r="AE4" s="794" t="s">
        <v>321</v>
      </c>
      <c r="AF4" s="794" t="s">
        <v>322</v>
      </c>
      <c r="AG4" s="314" t="s">
        <v>320</v>
      </c>
      <c r="AH4" s="314" t="s">
        <v>321</v>
      </c>
      <c r="AI4" s="314" t="s">
        <v>322</v>
      </c>
      <c r="AJ4" s="795"/>
      <c r="AK4" s="795"/>
      <c r="AL4" s="795"/>
    </row>
    <row r="5" spans="1:39" ht="15" customHeight="1" x14ac:dyDescent="0.25">
      <c r="B5" s="17"/>
      <c r="C5" s="1047"/>
      <c r="D5" s="16"/>
      <c r="E5" s="16"/>
      <c r="F5" s="16"/>
      <c r="G5" s="1370" t="str">
        <f ca="1">Taal04!B80</f>
        <v>Om u op weg te helpen kan op basis van voorgaande voorspellingen, mits volledig ingevuld, u een suggestie gegeven worden.</v>
      </c>
      <c r="H5" s="1370"/>
      <c r="I5" s="1370"/>
      <c r="J5" s="1370"/>
      <c r="K5" s="1370"/>
      <c r="L5" s="1370"/>
      <c r="M5" s="1370"/>
      <c r="N5" s="1370"/>
      <c r="O5" s="1370"/>
      <c r="P5" s="1371"/>
      <c r="Q5" s="17"/>
      <c r="R5" s="44"/>
      <c r="S5" s="319" t="str">
        <f ca="1">Taal04!B36</f>
        <v>suggesties niet weergeven</v>
      </c>
      <c r="T5" s="46"/>
      <c r="U5" s="49"/>
      <c r="V5" s="318"/>
      <c r="W5" s="318"/>
      <c r="X5" s="318"/>
      <c r="Y5" s="318"/>
      <c r="Z5" s="318"/>
      <c r="AA5" s="291" t="str">
        <f>Voorblad!X67</f>
        <v>A1</v>
      </c>
      <c r="AB5" s="317" t="str">
        <f ca="1">Voorblad!Y67</f>
        <v>Duitsland</v>
      </c>
      <c r="AC5" s="317" t="str">
        <f>Voorblad!Z67</f>
        <v>DE</v>
      </c>
      <c r="AD5" s="795">
        <f>IF($N$88="G1e",#REF!,0)</f>
        <v>0</v>
      </c>
      <c r="AE5" s="795">
        <f>IF($N$90="F1e",#REF!,0)</f>
        <v>0</v>
      </c>
      <c r="AF5" s="1102">
        <f t="shared" ref="AF5:AF29" si="0">AD5+AE5</f>
        <v>0</v>
      </c>
      <c r="AG5" s="291">
        <f>IF($N$88="G1e",#REF!,0)</f>
        <v>0</v>
      </c>
      <c r="AH5" s="291">
        <f>IF($N$90="F1e",#REF!,0)</f>
        <v>0</v>
      </c>
      <c r="AI5" s="1103">
        <f>AG5+AH5</f>
        <v>0</v>
      </c>
      <c r="AJ5" s="795">
        <f>AF5-AI5</f>
        <v>0</v>
      </c>
      <c r="AK5" s="1368">
        <f t="shared" ref="AK5:AK36" si="1">1000000+AJ5*1000+AF5</f>
        <v>1000000</v>
      </c>
      <c r="AL5" s="1368"/>
    </row>
    <row r="6" spans="1:39" ht="15" customHeight="1" x14ac:dyDescent="0.25">
      <c r="B6" s="17"/>
      <c r="C6" s="1049"/>
      <c r="D6" s="1262" t="s">
        <v>180</v>
      </c>
      <c r="E6" s="1263"/>
      <c r="F6" s="797" t="s">
        <v>908</v>
      </c>
      <c r="G6" s="1372"/>
      <c r="H6" s="1372"/>
      <c r="I6" s="1372"/>
      <c r="J6" s="1372"/>
      <c r="K6" s="1372"/>
      <c r="L6" s="1372"/>
      <c r="M6" s="1372"/>
      <c r="N6" s="1372"/>
      <c r="O6" s="1372"/>
      <c r="P6" s="1373"/>
      <c r="Q6" s="17"/>
      <c r="R6" s="44"/>
      <c r="S6" s="779">
        <f ca="1">IF(COUNTIF(Taal04!34:34,D6)&gt;0,1,IF(COUNTIF(Taal04!35:35,D6)&gt;0,2,3))</f>
        <v>1</v>
      </c>
      <c r="T6" s="46"/>
      <c r="U6" s="49"/>
      <c r="V6" s="318"/>
      <c r="W6" s="318"/>
      <c r="X6" s="318"/>
      <c r="Y6" s="318"/>
      <c r="Z6" s="318"/>
      <c r="AA6" s="291" t="str">
        <f>Voorblad!X68</f>
        <v>A2</v>
      </c>
      <c r="AB6" s="317" t="str">
        <f ca="1">Voorblad!Y68</f>
        <v>Schotland</v>
      </c>
      <c r="AC6" s="317" t="str">
        <f>Voorblad!Z68</f>
        <v>SC</v>
      </c>
      <c r="AD6" s="795">
        <f>IF($N$88="G1e",#REF!,0)</f>
        <v>0</v>
      </c>
      <c r="AE6" s="795">
        <f>IF($N$90="F1e",#REF!,0)</f>
        <v>0</v>
      </c>
      <c r="AF6" s="1102">
        <f t="shared" si="0"/>
        <v>0</v>
      </c>
      <c r="AG6" s="291">
        <f>IF($N$88="G1e",#REF!,0)</f>
        <v>0</v>
      </c>
      <c r="AH6" s="291">
        <f>IF($N$90="F1e",#REF!,0)</f>
        <v>0</v>
      </c>
      <c r="AI6" s="1103">
        <f t="shared" ref="AI6:AI29" si="2">AG6+AH6</f>
        <v>0</v>
      </c>
      <c r="AJ6" s="795">
        <f t="shared" ref="AJ6:AJ36" si="3">AF6-AI6</f>
        <v>0</v>
      </c>
      <c r="AK6" s="1368">
        <f t="shared" si="1"/>
        <v>1000000</v>
      </c>
      <c r="AL6" s="1368"/>
    </row>
    <row r="7" spans="1:39" ht="15" customHeight="1" x14ac:dyDescent="0.25">
      <c r="B7" s="17"/>
      <c r="C7" s="1050"/>
      <c r="D7" s="108"/>
      <c r="E7" s="108"/>
      <c r="F7" s="374"/>
      <c r="G7" s="1374"/>
      <c r="H7" s="1374"/>
      <c r="I7" s="1374"/>
      <c r="J7" s="1374"/>
      <c r="K7" s="1374"/>
      <c r="L7" s="1374"/>
      <c r="M7" s="1374"/>
      <c r="N7" s="1374"/>
      <c r="O7" s="1374"/>
      <c r="P7" s="1375"/>
      <c r="Q7" s="17"/>
      <c r="R7" s="44"/>
      <c r="S7" s="48"/>
      <c r="T7" s="46"/>
      <c r="U7" s="49"/>
      <c r="V7" s="318"/>
      <c r="W7" s="318"/>
      <c r="X7" s="318"/>
      <c r="Y7" s="318"/>
      <c r="Z7" s="318"/>
      <c r="AA7" s="291" t="str">
        <f>Voorblad!X69</f>
        <v>A3</v>
      </c>
      <c r="AB7" s="317" t="str">
        <f ca="1">Voorblad!Y69</f>
        <v>Hongarije</v>
      </c>
      <c r="AC7" s="317" t="str">
        <f>Voorblad!Z69</f>
        <v>HU</v>
      </c>
      <c r="AD7" s="795">
        <f>IF($N$88="G1e",#REF!,0)</f>
        <v>0</v>
      </c>
      <c r="AE7" s="795">
        <f>IF($N$90="F1e",#REF!,0)</f>
        <v>0</v>
      </c>
      <c r="AF7" s="1102">
        <f t="shared" si="0"/>
        <v>0</v>
      </c>
      <c r="AG7" s="291">
        <f>IF($N$88="G1e",#REF!,0)</f>
        <v>0</v>
      </c>
      <c r="AH7" s="291">
        <f>IF($N$90="F1e",#REF!,0)</f>
        <v>0</v>
      </c>
      <c r="AI7" s="1103">
        <f t="shared" si="2"/>
        <v>0</v>
      </c>
      <c r="AJ7" s="795">
        <f t="shared" si="3"/>
        <v>0</v>
      </c>
      <c r="AK7" s="1368">
        <f t="shared" si="1"/>
        <v>1000000</v>
      </c>
      <c r="AL7" s="1368"/>
    </row>
    <row r="8" spans="1:39" ht="15" customHeight="1" x14ac:dyDescent="0.25">
      <c r="B8" s="17"/>
      <c r="C8" s="108"/>
      <c r="D8" s="108"/>
      <c r="E8" s="108"/>
      <c r="F8" s="108"/>
      <c r="G8" s="108"/>
      <c r="H8" s="108"/>
      <c r="I8" s="108"/>
      <c r="J8" s="108"/>
      <c r="K8" s="108"/>
      <c r="L8" s="108"/>
      <c r="M8" s="108"/>
      <c r="N8" s="108"/>
      <c r="O8" s="108"/>
      <c r="P8" s="108"/>
      <c r="Q8" s="17"/>
      <c r="R8" s="44"/>
      <c r="U8" s="49"/>
      <c r="V8" s="318"/>
      <c r="W8" s="318"/>
      <c r="X8" s="318"/>
      <c r="Y8" s="318"/>
      <c r="Z8" s="318"/>
      <c r="AA8" s="291" t="str">
        <f>Voorblad!X70</f>
        <v>A4</v>
      </c>
      <c r="AB8" s="317" t="str">
        <f ca="1">Voorblad!Y70</f>
        <v>Zwitserland</v>
      </c>
      <c r="AC8" s="317" t="str">
        <f>Voorblad!Z70</f>
        <v>CH</v>
      </c>
      <c r="AD8" s="795">
        <f>IF($N$88="G1e",#REF!,0)</f>
        <v>0</v>
      </c>
      <c r="AE8" s="795">
        <f>IF($N$90="F1e",#REF!,0)</f>
        <v>0</v>
      </c>
      <c r="AF8" s="1102">
        <f t="shared" si="0"/>
        <v>0</v>
      </c>
      <c r="AG8" s="291">
        <f>IF($N$88="G1e",#REF!,0)</f>
        <v>0</v>
      </c>
      <c r="AH8" s="291">
        <f>IF($N$90="F1e",#REF!,0)</f>
        <v>0</v>
      </c>
      <c r="AI8" s="1103">
        <f t="shared" si="2"/>
        <v>0</v>
      </c>
      <c r="AJ8" s="795">
        <f t="shared" si="3"/>
        <v>0</v>
      </c>
      <c r="AK8" s="1368">
        <f t="shared" si="1"/>
        <v>1000000</v>
      </c>
      <c r="AL8" s="1368"/>
    </row>
    <row r="9" spans="1:39" ht="15" customHeight="1" x14ac:dyDescent="0.25">
      <c r="B9" s="17"/>
      <c r="C9" s="1075"/>
      <c r="D9" s="1090" t="str">
        <f ca="1">Taal04!B82</f>
        <v>De Openvragen</v>
      </c>
      <c r="E9" s="1090"/>
      <c r="F9" s="1090"/>
      <c r="G9" s="1090"/>
      <c r="H9" s="1090"/>
      <c r="I9" s="1090"/>
      <c r="J9" s="1090"/>
      <c r="K9" s="1090"/>
      <c r="L9" s="1090"/>
      <c r="M9" s="1090"/>
      <c r="N9" s="1090"/>
      <c r="O9" s="1090"/>
      <c r="P9" s="1079"/>
      <c r="Q9" s="17"/>
      <c r="R9" s="44"/>
      <c r="S9" s="32"/>
      <c r="T9" s="3"/>
      <c r="U9" s="318"/>
      <c r="V9" s="318"/>
      <c r="W9" s="318"/>
      <c r="X9" s="318"/>
      <c r="Y9" s="1104"/>
      <c r="Z9" s="318"/>
      <c r="AA9" s="291" t="str">
        <f>Voorblad!X71</f>
        <v>B1</v>
      </c>
      <c r="AB9" s="317" t="str">
        <f ca="1">Voorblad!Y71</f>
        <v>Spanje</v>
      </c>
      <c r="AC9" s="317" t="str">
        <f>Voorblad!Z71</f>
        <v>ES</v>
      </c>
      <c r="AD9" s="795">
        <f>IF($N$88="G1e",#REF!,0)</f>
        <v>0</v>
      </c>
      <c r="AE9" s="795">
        <f>IF($N$90="F1e",#REF!,0)</f>
        <v>0</v>
      </c>
      <c r="AF9" s="1102">
        <f t="shared" si="0"/>
        <v>0</v>
      </c>
      <c r="AG9" s="291">
        <f>IF($N$88="G1e",#REF!,0)</f>
        <v>0</v>
      </c>
      <c r="AH9" s="291">
        <f>IF($N$90="F1e",#REF!,0)</f>
        <v>0</v>
      </c>
      <c r="AI9" s="1103">
        <f t="shared" si="2"/>
        <v>0</v>
      </c>
      <c r="AJ9" s="795">
        <f t="shared" si="3"/>
        <v>0</v>
      </c>
      <c r="AK9" s="1368">
        <f t="shared" si="1"/>
        <v>1000000</v>
      </c>
      <c r="AL9" s="1368"/>
    </row>
    <row r="10" spans="1:39" ht="15" customHeight="1" x14ac:dyDescent="0.25">
      <c r="B10" s="17"/>
      <c r="C10" s="1047"/>
      <c r="D10" s="16"/>
      <c r="E10" s="16"/>
      <c r="F10" s="16"/>
      <c r="G10" s="16"/>
      <c r="H10" s="16"/>
      <c r="I10" s="16"/>
      <c r="J10" s="16"/>
      <c r="K10" s="16"/>
      <c r="L10" s="16"/>
      <c r="M10" s="16"/>
      <c r="N10" s="16"/>
      <c r="O10" s="16"/>
      <c r="P10" s="1048"/>
      <c r="Q10" s="17"/>
      <c r="R10" s="44"/>
      <c r="S10" s="32"/>
      <c r="T10" s="3"/>
      <c r="U10" s="318"/>
      <c r="V10" s="318"/>
      <c r="W10" s="318"/>
      <c r="X10" s="318"/>
      <c r="Y10" s="318"/>
      <c r="Z10" s="318"/>
      <c r="AA10" s="291" t="str">
        <f>Voorblad!X72</f>
        <v>B2</v>
      </c>
      <c r="AB10" s="317" t="str">
        <f ca="1">Voorblad!Y72</f>
        <v>Kroatië</v>
      </c>
      <c r="AC10" s="317" t="str">
        <f>Voorblad!Z72</f>
        <v>HR</v>
      </c>
      <c r="AD10" s="795">
        <f>IF($N$88="G1e",#REF!,0)</f>
        <v>0</v>
      </c>
      <c r="AE10" s="795">
        <f>IF($N$90="F1e",#REF!,0)</f>
        <v>0</v>
      </c>
      <c r="AF10" s="1102">
        <f t="shared" si="0"/>
        <v>0</v>
      </c>
      <c r="AG10" s="291">
        <f>IF($N$88="G1e",#REF!,0)</f>
        <v>0</v>
      </c>
      <c r="AH10" s="291">
        <f>IF($N$90="F1e",#REF!,0)</f>
        <v>0</v>
      </c>
      <c r="AI10" s="1103">
        <f t="shared" si="2"/>
        <v>0</v>
      </c>
      <c r="AJ10" s="795">
        <f t="shared" si="3"/>
        <v>0</v>
      </c>
      <c r="AK10" s="1368">
        <f t="shared" si="1"/>
        <v>1000000</v>
      </c>
      <c r="AL10" s="1368"/>
    </row>
    <row r="11" spans="1:39" ht="15" customHeight="1" x14ac:dyDescent="0.25">
      <c r="B11" s="17"/>
      <c r="C11" s="1049"/>
      <c r="D11" s="1378" t="str">
        <f ca="1">IF(OR(H80=0,H81="x"),Voorblad!L81,IF(TYPE(H81)=1,SUBSTITUTE(IF(H81=1,Taal04!B83,Taal04!B84),"##",H81),Voorblad!L81))</f>
        <v>Voor elk goed beantwoorde openvraag ontvangt u 5 punten.</v>
      </c>
      <c r="E11" s="1378"/>
      <c r="F11" s="1378"/>
      <c r="G11" s="1378"/>
      <c r="H11" s="1378"/>
      <c r="I11" s="1378"/>
      <c r="J11" s="1378"/>
      <c r="K11" s="1378"/>
      <c r="L11" s="1378"/>
      <c r="M11" s="1378"/>
      <c r="N11" s="1378"/>
      <c r="O11" s="1378"/>
      <c r="P11" s="1379"/>
      <c r="Q11" s="17"/>
      <c r="R11" s="44"/>
      <c r="S11" s="32"/>
      <c r="T11" s="3"/>
      <c r="U11" s="318"/>
      <c r="V11" s="318"/>
      <c r="W11" s="318"/>
      <c r="X11" s="318"/>
      <c r="Y11" s="1104"/>
      <c r="Z11" s="318"/>
      <c r="AA11" s="291" t="str">
        <f>Voorblad!X73</f>
        <v>B3</v>
      </c>
      <c r="AB11" s="317" t="str">
        <f ca="1">Voorblad!Y73</f>
        <v>Italië</v>
      </c>
      <c r="AC11" s="317" t="str">
        <f>Voorblad!Z73</f>
        <v>IT</v>
      </c>
      <c r="AD11" s="795">
        <f>IF($N$88="G1e",#REF!,0)</f>
        <v>0</v>
      </c>
      <c r="AE11" s="795">
        <f>IF($N$90="F1e",#REF!,0)</f>
        <v>0</v>
      </c>
      <c r="AF11" s="1102">
        <f t="shared" si="0"/>
        <v>0</v>
      </c>
      <c r="AG11" s="291">
        <f>IF($N$88="G1e",#REF!,0)</f>
        <v>0</v>
      </c>
      <c r="AH11" s="291">
        <f>IF($N$90="F1e",#REF!,0)</f>
        <v>0</v>
      </c>
      <c r="AI11" s="1103">
        <f t="shared" si="2"/>
        <v>0</v>
      </c>
      <c r="AJ11" s="795">
        <f t="shared" si="3"/>
        <v>0</v>
      </c>
      <c r="AK11" s="1368">
        <f t="shared" si="1"/>
        <v>1000000</v>
      </c>
      <c r="AL11" s="1368"/>
    </row>
    <row r="12" spans="1:39" ht="12" customHeight="1" x14ac:dyDescent="0.25">
      <c r="B12" s="17"/>
      <c r="C12" s="1049"/>
      <c r="D12" s="1042"/>
      <c r="E12" s="1042"/>
      <c r="F12" s="1042"/>
      <c r="G12" s="1042"/>
      <c r="H12" s="1042"/>
      <c r="I12" s="1042"/>
      <c r="J12" s="1042"/>
      <c r="K12" s="17"/>
      <c r="L12" s="17"/>
      <c r="M12" s="17"/>
      <c r="N12" s="17"/>
      <c r="O12" s="17"/>
      <c r="P12" s="61"/>
      <c r="Q12" s="17"/>
      <c r="R12" s="44"/>
      <c r="S12" s="32"/>
      <c r="T12" s="3"/>
      <c r="U12" s="318"/>
      <c r="V12" s="318"/>
      <c r="W12" s="318"/>
      <c r="X12" s="318"/>
      <c r="Y12" s="318"/>
      <c r="Z12" s="318"/>
      <c r="AA12" s="291" t="str">
        <f>Voorblad!X74</f>
        <v>B4</v>
      </c>
      <c r="AB12" s="317" t="str">
        <f ca="1">Voorblad!Y74</f>
        <v>Albanië</v>
      </c>
      <c r="AC12" s="317" t="str">
        <f>Voorblad!Z74</f>
        <v>AL</v>
      </c>
      <c r="AD12" s="795">
        <f>IF($N$88="G1e",#REF!,0)</f>
        <v>0</v>
      </c>
      <c r="AE12" s="795">
        <f>IF($N$90="F1e",#REF!,0)</f>
        <v>0</v>
      </c>
      <c r="AF12" s="1102">
        <f t="shared" si="0"/>
        <v>0</v>
      </c>
      <c r="AG12" s="291">
        <f>IF($N$88="G1e",#REF!,0)</f>
        <v>0</v>
      </c>
      <c r="AH12" s="291">
        <f>IF($N$90="F1e",#REF!,0)</f>
        <v>0</v>
      </c>
      <c r="AI12" s="1103">
        <f t="shared" si="2"/>
        <v>0</v>
      </c>
      <c r="AJ12" s="795">
        <f t="shared" si="3"/>
        <v>0</v>
      </c>
      <c r="AK12" s="1368">
        <f t="shared" si="1"/>
        <v>1000000</v>
      </c>
      <c r="AL12" s="1368"/>
    </row>
    <row r="13" spans="1:39" ht="15" customHeight="1" x14ac:dyDescent="0.25">
      <c r="B13" s="17"/>
      <c r="C13" s="1049"/>
      <c r="D13" s="1376" t="str">
        <f ca="1">Taal04!B85</f>
        <v>Voorspel de topscorer van het toernooi</v>
      </c>
      <c r="E13" s="1376"/>
      <c r="F13" s="1376"/>
      <c r="G13" s="1376"/>
      <c r="H13" s="1376"/>
      <c r="I13" s="1376"/>
      <c r="J13" s="1376"/>
      <c r="K13" s="780" t="s">
        <v>16</v>
      </c>
      <c r="L13" s="798"/>
      <c r="M13" s="246" t="str">
        <f ca="1">SUBSTITUTE(Taal04!B16,"##","32")</f>
        <v>(maximaal 32 tekens)</v>
      </c>
      <c r="N13" s="246"/>
      <c r="O13" s="17"/>
      <c r="P13" s="61"/>
      <c r="Q13" s="17"/>
      <c r="R13" s="44"/>
      <c r="S13" s="32" t="str">
        <f>IF(ISBLANK(L13),"LEEG",IF(AND(LEN(L13)&lt;33,ISTEXT(L13)),"GOED","ONGELDIG"))</f>
        <v>LEEG</v>
      </c>
      <c r="T13" s="118" t="str">
        <f>IF(S13="GOED",SUBSTITUTE(Bonusvragen!L13," ","*#")&amp;"|","FOUT")</f>
        <v>FOUT</v>
      </c>
      <c r="U13" s="318" t="str">
        <f ca="1">AE98</f>
        <v>geen suggestie mogelijk</v>
      </c>
      <c r="V13" s="318"/>
      <c r="W13" s="318"/>
      <c r="X13" s="318"/>
      <c r="Y13" s="318"/>
      <c r="Z13" s="318"/>
      <c r="AA13" s="291" t="str">
        <f>Voorblad!X75</f>
        <v>C1</v>
      </c>
      <c r="AB13" s="317" t="str">
        <f ca="1">Voorblad!Y75</f>
        <v>Slovenië</v>
      </c>
      <c r="AC13" s="317" t="str">
        <f>Voorblad!Z75</f>
        <v>SI</v>
      </c>
      <c r="AD13" s="795">
        <f>IF($N$88="G1e",#REF!,0)</f>
        <v>0</v>
      </c>
      <c r="AE13" s="795">
        <f>IF($N$90="F1e",#REF!,0)</f>
        <v>0</v>
      </c>
      <c r="AF13" s="1102">
        <f t="shared" si="0"/>
        <v>0</v>
      </c>
      <c r="AG13" s="291">
        <f>IF($N$88="G1e",#REF!,0)</f>
        <v>0</v>
      </c>
      <c r="AH13" s="291">
        <f>IF($N$90="F1e",#REF!,0)</f>
        <v>0</v>
      </c>
      <c r="AI13" s="1103">
        <f t="shared" si="2"/>
        <v>0</v>
      </c>
      <c r="AJ13" s="795">
        <f t="shared" si="3"/>
        <v>0</v>
      </c>
      <c r="AK13" s="1368">
        <f t="shared" si="1"/>
        <v>1000000</v>
      </c>
      <c r="AL13" s="1368"/>
    </row>
    <row r="14" spans="1:39" ht="15" customHeight="1" x14ac:dyDescent="0.25">
      <c r="B14" s="17"/>
      <c r="C14" s="1049"/>
      <c r="D14" s="1042"/>
      <c r="E14" s="1042"/>
      <c r="F14" s="1042"/>
      <c r="G14" s="1042"/>
      <c r="H14" s="1042"/>
      <c r="I14" s="1042"/>
      <c r="J14" s="1042"/>
      <c r="K14" s="780"/>
      <c r="L14" s="17"/>
      <c r="M14" s="17"/>
      <c r="N14" s="17"/>
      <c r="O14" s="17"/>
      <c r="P14" s="61"/>
      <c r="Q14" s="17"/>
      <c r="R14" s="44"/>
      <c r="S14" s="32"/>
      <c r="T14" s="118" t="str">
        <f>IF(LEN(T13)-1&lt;10,"#"&amp;LEN(T13)-1,LEN(T13)-1)</f>
        <v>#3</v>
      </c>
      <c r="U14" s="318"/>
      <c r="V14" s="318"/>
      <c r="W14" s="318"/>
      <c r="X14" s="318"/>
      <c r="Y14" s="318"/>
      <c r="Z14" s="318"/>
      <c r="AA14" s="291" t="str">
        <f>Voorblad!X76</f>
        <v>C2</v>
      </c>
      <c r="AB14" s="317" t="str">
        <f ca="1">Voorblad!Y76</f>
        <v>Denemarken</v>
      </c>
      <c r="AC14" s="317" t="str">
        <f>Voorblad!Z76</f>
        <v>DK</v>
      </c>
      <c r="AD14" s="795">
        <f>IF($N$88="G1e",#REF!,0)</f>
        <v>0</v>
      </c>
      <c r="AE14" s="795">
        <f>IF($N$90="F1e",#REF!,0)</f>
        <v>0</v>
      </c>
      <c r="AF14" s="1102">
        <f t="shared" si="0"/>
        <v>0</v>
      </c>
      <c r="AG14" s="291">
        <f>IF($N$88="G1e",#REF!,0)</f>
        <v>0</v>
      </c>
      <c r="AH14" s="291">
        <f>IF($N$90="F1e",#REF!,0)</f>
        <v>0</v>
      </c>
      <c r="AI14" s="1103">
        <f t="shared" si="2"/>
        <v>0</v>
      </c>
      <c r="AJ14" s="795">
        <f t="shared" si="3"/>
        <v>0</v>
      </c>
      <c r="AK14" s="1368">
        <f t="shared" si="1"/>
        <v>1000000</v>
      </c>
      <c r="AL14" s="1368"/>
    </row>
    <row r="15" spans="1:39" ht="15" customHeight="1" x14ac:dyDescent="0.25">
      <c r="B15" s="17"/>
      <c r="C15" s="1049"/>
      <c r="D15" s="1377" t="str">
        <f ca="1">IF($H$80=1,IF($I$81=2,Taal04!B86,IF($I$81=3,Taal04!B87,IF($I$81=4,Taal04!B88,Taal04!B89&amp;" "&amp;INDIRECT("Taal02!"&amp;"B"&amp;46+$I$81)))),"")</f>
        <v>Voorspel de topscorer van het Nationale elftal</v>
      </c>
      <c r="E15" s="1377"/>
      <c r="F15" s="1377"/>
      <c r="G15" s="1377"/>
      <c r="H15" s="1377"/>
      <c r="I15" s="1377"/>
      <c r="J15" s="1377"/>
      <c r="K15" s="780" t="str">
        <f>IF(H80=1,":","")</f>
        <v>:</v>
      </c>
      <c r="L15" s="798"/>
      <c r="M15" s="246" t="str">
        <f ca="1">SUBSTITUTE(Taal04!B16,"##","32")</f>
        <v>(maximaal 32 tekens)</v>
      </c>
      <c r="N15" s="246"/>
      <c r="O15" s="17"/>
      <c r="P15" s="61"/>
      <c r="Q15" s="17"/>
      <c r="R15" s="44"/>
      <c r="S15" s="32" t="str">
        <f>IF(ISBLANK(L15),"LEEG",IF(AND(LEN(L15)&lt;33,ISTEXT(L15)),"GOED","ONGELDIG"))</f>
        <v>LEEG</v>
      </c>
      <c r="T15" s="118" t="str">
        <f>IF(S15="GOED",SUBSTITUTE(L15," ","*#")&amp;"|","FOUT")</f>
        <v>FOUT</v>
      </c>
      <c r="U15" s="318" t="str">
        <f ca="1">AE99</f>
        <v>geen suggestie mogelijk</v>
      </c>
      <c r="V15" s="318"/>
      <c r="W15" s="318"/>
      <c r="X15" s="318"/>
      <c r="Y15" s="1104"/>
      <c r="Z15" s="318"/>
      <c r="AA15" s="291" t="str">
        <f>Voorblad!X77</f>
        <v>C3</v>
      </c>
      <c r="AB15" s="317" t="str">
        <f ca="1">Voorblad!Y77</f>
        <v>Servië</v>
      </c>
      <c r="AC15" s="317" t="str">
        <f>Voorblad!Z77</f>
        <v>RS</v>
      </c>
      <c r="AD15" s="795">
        <f>IF($N$88="G1e",#REF!,0)</f>
        <v>0</v>
      </c>
      <c r="AE15" s="795">
        <f>IF($N$90="F1e",#REF!,0)</f>
        <v>0</v>
      </c>
      <c r="AF15" s="1102">
        <f t="shared" si="0"/>
        <v>0</v>
      </c>
      <c r="AG15" s="291">
        <f>IF($N$88="G1e",#REF!,0)</f>
        <v>0</v>
      </c>
      <c r="AH15" s="291">
        <f>IF($N$90="F1e",#REF!,0)</f>
        <v>0</v>
      </c>
      <c r="AI15" s="1103">
        <f t="shared" si="2"/>
        <v>0</v>
      </c>
      <c r="AJ15" s="795">
        <f t="shared" si="3"/>
        <v>0</v>
      </c>
      <c r="AK15" s="1368">
        <f t="shared" si="1"/>
        <v>1000000</v>
      </c>
      <c r="AL15" s="1368"/>
    </row>
    <row r="16" spans="1:39" ht="15" customHeight="1" x14ac:dyDescent="0.25">
      <c r="B16" s="17"/>
      <c r="C16" s="1049"/>
      <c r="D16" s="1042"/>
      <c r="E16" s="1042"/>
      <c r="F16" s="1042"/>
      <c r="G16" s="1042"/>
      <c r="H16" s="1042"/>
      <c r="I16" s="1042"/>
      <c r="J16" s="1042"/>
      <c r="K16" s="17"/>
      <c r="L16" s="17"/>
      <c r="M16" s="17"/>
      <c r="N16" s="17"/>
      <c r="O16" s="17"/>
      <c r="P16" s="61"/>
      <c r="Q16" s="17"/>
      <c r="R16" s="44"/>
      <c r="S16" s="32"/>
      <c r="T16" s="118" t="str">
        <f>IF(LEN(T15)-1&lt;10,"#"&amp;LEN(T15)-1,LEN(T15)-1)</f>
        <v>#3</v>
      </c>
      <c r="U16" s="318"/>
      <c r="V16" s="318"/>
      <c r="W16" s="318"/>
      <c r="X16" s="318"/>
      <c r="Y16" s="318"/>
      <c r="Z16" s="318"/>
      <c r="AA16" s="291" t="str">
        <f>Voorblad!X78</f>
        <v>C4</v>
      </c>
      <c r="AB16" s="317" t="str">
        <f ca="1">Voorblad!Y78</f>
        <v>Engeland</v>
      </c>
      <c r="AC16" s="317" t="str">
        <f>Voorblad!Z78</f>
        <v>GB</v>
      </c>
      <c r="AD16" s="795">
        <f>IF($N$88="G1e",#REF!,0)</f>
        <v>0</v>
      </c>
      <c r="AE16" s="795">
        <f>IF($N$90="F1e",#REF!,0)</f>
        <v>0</v>
      </c>
      <c r="AF16" s="1102">
        <f t="shared" si="0"/>
        <v>0</v>
      </c>
      <c r="AG16" s="291">
        <f>IF($N$88="G1e",#REF!,0)</f>
        <v>0</v>
      </c>
      <c r="AH16" s="291">
        <f>IF($N$90="F1e",#REF!,0)</f>
        <v>0</v>
      </c>
      <c r="AI16" s="1103">
        <f t="shared" si="2"/>
        <v>0</v>
      </c>
      <c r="AJ16" s="795">
        <f t="shared" si="3"/>
        <v>0</v>
      </c>
      <c r="AK16" s="1368">
        <f t="shared" si="1"/>
        <v>1000000</v>
      </c>
      <c r="AL16" s="1368"/>
    </row>
    <row r="17" spans="2:38" ht="15.95" customHeight="1" x14ac:dyDescent="0.25">
      <c r="B17" s="17"/>
      <c r="C17" s="1049"/>
      <c r="D17" s="1376" t="str">
        <f ca="1">Taal04!B90&amp;" ¹"</f>
        <v>Voorspel het elftal met de meeste doelpunten ¹</v>
      </c>
      <c r="E17" s="1376"/>
      <c r="F17" s="1376"/>
      <c r="G17" s="1376"/>
      <c r="H17" s="1376"/>
      <c r="I17" s="1376"/>
      <c r="J17" s="1376"/>
      <c r="K17" s="780" t="s">
        <v>16</v>
      </c>
      <c r="L17" s="805"/>
      <c r="M17" s="765" t="str">
        <f>IF(S17="LEEG","▼     ","")</f>
        <v xml:space="preserve">▼     </v>
      </c>
      <c r="N17" s="17"/>
      <c r="O17" s="17"/>
      <c r="P17" s="61"/>
      <c r="Q17" s="17"/>
      <c r="R17" s="44"/>
      <c r="S17" s="803" t="str">
        <f>IF(T18="LEEG","LEEG",IF(TYPE(T18)=2,IF(LEN(T18)=2,"GOED","ONGELDIG"),"ONGELDIG"))</f>
        <v>LEEG</v>
      </c>
      <c r="T17" s="801" t="str">
        <f>IF(LEN(T18)=2,T18&amp;"|","FOUT")</f>
        <v>FOUT</v>
      </c>
      <c r="U17" s="318" t="str">
        <f ca="1">AE100</f>
        <v>geen suggestie mogelijk</v>
      </c>
      <c r="V17" s="318"/>
      <c r="W17" s="318"/>
      <c r="X17" s="318"/>
      <c r="Y17" s="1104"/>
      <c r="Z17" s="318"/>
      <c r="AA17" s="291" t="str">
        <f>Voorblad!X79</f>
        <v>D1</v>
      </c>
      <c r="AB17" s="317" t="str">
        <f ca="1">Voorblad!Y79</f>
        <v>Polen</v>
      </c>
      <c r="AC17" s="317" t="str">
        <f>Voorblad!Z79</f>
        <v>PL</v>
      </c>
      <c r="AD17" s="795">
        <f>IF($N$88="G1e",#REF!,0)</f>
        <v>0</v>
      </c>
      <c r="AE17" s="795">
        <f>IF($N$90="F1e",#REF!,0)</f>
        <v>0</v>
      </c>
      <c r="AF17" s="1102">
        <f t="shared" si="0"/>
        <v>0</v>
      </c>
      <c r="AG17" s="291">
        <f>IF($N$88="G1e",#REF!,0)</f>
        <v>0</v>
      </c>
      <c r="AH17" s="291">
        <f>IF($N$90="F1e",#REF!,0)</f>
        <v>0</v>
      </c>
      <c r="AI17" s="1103">
        <f t="shared" si="2"/>
        <v>0</v>
      </c>
      <c r="AJ17" s="795">
        <f t="shared" si="3"/>
        <v>0</v>
      </c>
      <c r="AK17" s="1368">
        <f t="shared" si="1"/>
        <v>1000000</v>
      </c>
      <c r="AL17" s="1368"/>
    </row>
    <row r="18" spans="2:38" ht="15" customHeight="1" x14ac:dyDescent="0.25">
      <c r="B18" s="17"/>
      <c r="C18" s="1049"/>
      <c r="D18" s="1042"/>
      <c r="E18" s="785"/>
      <c r="F18" s="1042"/>
      <c r="G18" s="1042"/>
      <c r="H18" s="1042"/>
      <c r="I18" s="1042"/>
      <c r="J18" s="1042"/>
      <c r="K18" s="17"/>
      <c r="L18" s="950" t="str">
        <f>SUBSTITUTE(SUBSTITUTE(SUBSTITUTE(SUBSTITUTE(SUBSTITUTE(SUBSTITUTE(SUBSTITUTE(SUBSTITUTE(SUBSTITUTE(SUBSTITUTE(SUBSTITUTE(L17,"0",""),"1",""),"2",""),"3",""),"4",""),"5",""),"6",""),"7",""),"8",""),"9","")," ()","")</f>
        <v/>
      </c>
      <c r="M18" s="17"/>
      <c r="N18" s="17"/>
      <c r="O18" s="17"/>
      <c r="P18" s="61"/>
      <c r="Q18" s="17"/>
      <c r="R18" s="44"/>
      <c r="S18" s="276" t="str">
        <f>IF(OR(ISBLANK(L17),L17=$AK$118),"OO",IF(TYPE(VLOOKUP(L18,Taal02!$C$100:$D$419,2,FALSE))=16,"XX",VLOOKUP(L18,Taal02!$C$100:$D$419,2,FALSE)))</f>
        <v>OO</v>
      </c>
      <c r="T18" s="802" t="str">
        <f>IF(S18="OO","LEEG",IF(S18="XX","FOUT",VLOOKUP(S18,Voorblad!$X$65:$Z$98,3,FALSE)))</f>
        <v>LEEG</v>
      </c>
      <c r="U18" s="856" t="str">
        <f ca="1">IF($AH$100="opm1",$S$89,"")</f>
        <v/>
      </c>
      <c r="V18" s="856"/>
      <c r="W18" s="856"/>
      <c r="X18" s="856"/>
      <c r="Y18" s="856"/>
      <c r="Z18" s="856"/>
      <c r="AA18" s="291" t="str">
        <f>Voorblad!X80</f>
        <v>D2</v>
      </c>
      <c r="AB18" s="317" t="str">
        <f ca="1">Voorblad!Y80</f>
        <v>Nederland</v>
      </c>
      <c r="AC18" s="317" t="str">
        <f>Voorblad!Z80</f>
        <v>NL</v>
      </c>
      <c r="AD18" s="795">
        <f>IF($N$88="G1e",#REF!,0)</f>
        <v>0</v>
      </c>
      <c r="AE18" s="795">
        <f>IF($N$90="F1e",#REF!,0)</f>
        <v>0</v>
      </c>
      <c r="AF18" s="1102">
        <f t="shared" si="0"/>
        <v>0</v>
      </c>
      <c r="AG18" s="291">
        <f>IF($N$88="G1e",#REF!,0)</f>
        <v>0</v>
      </c>
      <c r="AH18" s="291">
        <f>IF($N$90="F1e",#REF!,0)</f>
        <v>0</v>
      </c>
      <c r="AI18" s="1103">
        <f t="shared" si="2"/>
        <v>0</v>
      </c>
      <c r="AJ18" s="795">
        <f t="shared" si="3"/>
        <v>0</v>
      </c>
      <c r="AK18" s="1368">
        <f t="shared" si="1"/>
        <v>1000000</v>
      </c>
      <c r="AL18" s="1368"/>
    </row>
    <row r="19" spans="2:38" ht="15.95" customHeight="1" x14ac:dyDescent="0.25">
      <c r="B19" s="17"/>
      <c r="C19" s="1049"/>
      <c r="D19" s="1376" t="str">
        <f ca="1">Taal04!B91&amp;" ¹"</f>
        <v>Voorspel het elftal met de meeste doelpunten tegen ¹</v>
      </c>
      <c r="E19" s="1376"/>
      <c r="F19" s="1376"/>
      <c r="G19" s="1376"/>
      <c r="H19" s="1376"/>
      <c r="I19" s="1376"/>
      <c r="J19" s="1376"/>
      <c r="K19" s="780" t="s">
        <v>16</v>
      </c>
      <c r="L19" s="805"/>
      <c r="M19" s="765" t="str">
        <f>IF(S19="LEEG","▼     ","")</f>
        <v xml:space="preserve">▼     </v>
      </c>
      <c r="N19" s="17"/>
      <c r="O19" s="17"/>
      <c r="P19" s="61"/>
      <c r="Q19" s="17"/>
      <c r="R19" s="44"/>
      <c r="S19" s="803" t="str">
        <f>IF(T20="LEEG","LEEG",IF(TYPE(T20)=2,IF(LEN(T20)=2,"GOED","ONGELDIG"),"ONGELDIG"))</f>
        <v>LEEG</v>
      </c>
      <c r="T19" s="801" t="str">
        <f>IF(LEN(T20)=2,T20&amp;"|","FOUT")</f>
        <v>FOUT</v>
      </c>
      <c r="U19" s="318" t="str">
        <f ca="1">AE101</f>
        <v>geen suggestie mogelijk</v>
      </c>
      <c r="V19" s="318"/>
      <c r="W19" s="318"/>
      <c r="X19" s="318"/>
      <c r="Y19" s="318"/>
      <c r="Z19" s="318"/>
      <c r="AA19" s="291" t="str">
        <f>Voorblad!X81</f>
        <v>D3</v>
      </c>
      <c r="AB19" s="317" t="str">
        <f ca="1">Voorblad!Y81</f>
        <v>Oostenrijk</v>
      </c>
      <c r="AC19" s="317" t="str">
        <f>Voorblad!Z81</f>
        <v>AT</v>
      </c>
      <c r="AD19" s="795">
        <f>IF($N$88="G1e",#REF!,0)</f>
        <v>0</v>
      </c>
      <c r="AE19" s="795">
        <f>IF($N$90="F1e",#REF!,0)</f>
        <v>0</v>
      </c>
      <c r="AF19" s="1102">
        <f t="shared" si="0"/>
        <v>0</v>
      </c>
      <c r="AG19" s="291">
        <f>IF($N$88="G1e",#REF!,0)</f>
        <v>0</v>
      </c>
      <c r="AH19" s="291">
        <f>IF($N$90="F1e",#REF!,0)</f>
        <v>0</v>
      </c>
      <c r="AI19" s="1103">
        <f t="shared" si="2"/>
        <v>0</v>
      </c>
      <c r="AJ19" s="795">
        <f t="shared" si="3"/>
        <v>0</v>
      </c>
      <c r="AK19" s="1368">
        <f t="shared" si="1"/>
        <v>1000000</v>
      </c>
      <c r="AL19" s="1368"/>
    </row>
    <row r="20" spans="2:38" ht="15" customHeight="1" x14ac:dyDescent="0.25">
      <c r="B20" s="17"/>
      <c r="C20" s="1049"/>
      <c r="D20" s="1042"/>
      <c r="E20" s="1042"/>
      <c r="F20" s="1042"/>
      <c r="G20" s="1042"/>
      <c r="H20" s="1042"/>
      <c r="I20" s="1042"/>
      <c r="J20" s="1042"/>
      <c r="K20" s="17"/>
      <c r="L20" s="950" t="str">
        <f>SUBSTITUTE(SUBSTITUTE(SUBSTITUTE(SUBSTITUTE(SUBSTITUTE(SUBSTITUTE(SUBSTITUTE(SUBSTITUTE(SUBSTITUTE(SUBSTITUTE(SUBSTITUTE(L19,"0",""),"1",""),"2",""),"3",""),"4",""),"5",""),"6",""),"7",""),"8",""),"9","")," ()","")</f>
        <v/>
      </c>
      <c r="M20" s="17"/>
      <c r="N20" s="17"/>
      <c r="O20" s="17"/>
      <c r="P20" s="61"/>
      <c r="Q20" s="17"/>
      <c r="R20" s="44"/>
      <c r="S20" s="276" t="str">
        <f>IF(OR(ISBLANK(L19),L19=$AK$118),"OO",IF(TYPE(VLOOKUP(L20,Taal02!$C$100:$D$419,2,FALSE))=16,"XX",VLOOKUP(L20,Taal02!$C$100:$D$419,2,FALSE)))</f>
        <v>OO</v>
      </c>
      <c r="T20" s="802" t="str">
        <f>IF(S20="OO","LEEG",IF(S20="XX","FOUT",VLOOKUP(S20,Voorblad!$X$65:$Z$98,3,FALSE)))</f>
        <v>LEEG</v>
      </c>
      <c r="U20" s="1419" t="str">
        <f ca="1">IF($AH$101="opm1",$S$89,"")</f>
        <v/>
      </c>
      <c r="V20" s="1419"/>
      <c r="W20" s="1419"/>
      <c r="X20" s="1419"/>
      <c r="Y20" s="1419"/>
      <c r="Z20" s="1419"/>
      <c r="AA20" s="291" t="str">
        <f>Voorblad!X82</f>
        <v>D4</v>
      </c>
      <c r="AB20" s="317" t="str">
        <f ca="1">Voorblad!Y82</f>
        <v>Frankrijk</v>
      </c>
      <c r="AC20" s="317" t="str">
        <f>Voorblad!Z82</f>
        <v>FR</v>
      </c>
      <c r="AD20" s="795">
        <f>IF($N$88="G1e",#REF!,0)</f>
        <v>0</v>
      </c>
      <c r="AE20" s="795">
        <f>IF($N$90="F1e",#REF!,0)</f>
        <v>0</v>
      </c>
      <c r="AF20" s="1102">
        <f t="shared" si="0"/>
        <v>0</v>
      </c>
      <c r="AG20" s="291">
        <f>IF($N$88="G1e",#REF!,0)</f>
        <v>0</v>
      </c>
      <c r="AH20" s="291">
        <f>IF($N$90="F1e",#REF!,0)</f>
        <v>0</v>
      </c>
      <c r="AI20" s="1103">
        <f t="shared" si="2"/>
        <v>0</v>
      </c>
      <c r="AJ20" s="795">
        <f t="shared" si="3"/>
        <v>0</v>
      </c>
      <c r="AK20" s="1368">
        <f t="shared" si="1"/>
        <v>1000000</v>
      </c>
      <c r="AL20" s="1368"/>
    </row>
    <row r="21" spans="2:38" ht="15.95" customHeight="1" x14ac:dyDescent="0.25">
      <c r="B21" s="17"/>
      <c r="C21" s="1049"/>
      <c r="D21" s="1376" t="str">
        <f ca="1">Taal04!B92&amp;" ²"</f>
        <v>Voorspel het elftal met de meeste rode en gele kaarten ²</v>
      </c>
      <c r="E21" s="1376"/>
      <c r="F21" s="1376"/>
      <c r="G21" s="1376"/>
      <c r="H21" s="1376"/>
      <c r="I21" s="1376"/>
      <c r="J21" s="1376"/>
      <c r="K21" s="780" t="s">
        <v>16</v>
      </c>
      <c r="L21" s="805"/>
      <c r="M21" s="765" t="str">
        <f>IF(S21="LEEG","▼     ","")</f>
        <v xml:space="preserve">▼     </v>
      </c>
      <c r="N21" s="17"/>
      <c r="O21" s="17"/>
      <c r="P21" s="61"/>
      <c r="Q21" s="17"/>
      <c r="R21" s="44"/>
      <c r="S21" s="803" t="str">
        <f>IF(T22="LEEG","LEEG",IF(TYPE(T22)=2,IF(LEN(T22)=2,"GOED","ONGELDIG"),"ONGELDIG"))</f>
        <v>LEEG</v>
      </c>
      <c r="T21" s="801" t="str">
        <f>IF(LEN(T22)=2,T22&amp;"|","FOUT")</f>
        <v>FOUT</v>
      </c>
      <c r="U21" s="318" t="str">
        <f ca="1">AE102</f>
        <v>geen suggestie mogelijk</v>
      </c>
      <c r="V21" s="318"/>
      <c r="W21" s="318"/>
      <c r="X21" s="318"/>
      <c r="Y21" s="1104"/>
      <c r="Z21" s="318"/>
      <c r="AA21" s="291" t="str">
        <f>Voorblad!X83</f>
        <v>E1</v>
      </c>
      <c r="AB21" s="317" t="str">
        <f ca="1">Voorblad!Y83</f>
        <v>België</v>
      </c>
      <c r="AC21" s="317" t="str">
        <f>Voorblad!Z83</f>
        <v>BE</v>
      </c>
      <c r="AD21" s="795">
        <f>IF($N$88="G1e",#REF!,0)</f>
        <v>0</v>
      </c>
      <c r="AE21" s="795">
        <f>IF($N$90="F1e",#REF!,0)</f>
        <v>0</v>
      </c>
      <c r="AF21" s="1102">
        <f t="shared" si="0"/>
        <v>0</v>
      </c>
      <c r="AG21" s="291">
        <f>IF($N$88="G1e",#REF!,0)</f>
        <v>0</v>
      </c>
      <c r="AH21" s="291">
        <f>IF($N$90="F1e",#REF!,0)</f>
        <v>0</v>
      </c>
      <c r="AI21" s="1103">
        <f t="shared" si="2"/>
        <v>0</v>
      </c>
      <c r="AJ21" s="795">
        <f t="shared" si="3"/>
        <v>0</v>
      </c>
      <c r="AK21" s="1368">
        <f t="shared" si="1"/>
        <v>1000000</v>
      </c>
      <c r="AL21" s="1368"/>
    </row>
    <row r="22" spans="2:38" ht="12" customHeight="1" x14ac:dyDescent="0.25">
      <c r="B22" s="17"/>
      <c r="C22" s="1049"/>
      <c r="D22" s="1042"/>
      <c r="E22" s="1042"/>
      <c r="F22" s="1042"/>
      <c r="G22" s="1042"/>
      <c r="H22" s="1376"/>
      <c r="I22" s="1376"/>
      <c r="J22" s="1376"/>
      <c r="K22" s="17"/>
      <c r="L22" s="17"/>
      <c r="M22" s="17"/>
      <c r="N22" s="17"/>
      <c r="O22" s="17"/>
      <c r="P22" s="61"/>
      <c r="Q22" s="17"/>
      <c r="R22" s="44"/>
      <c r="S22" s="276" t="str">
        <f>IF(ISBLANK(L21),"OO",IF(TYPE(VLOOKUP(L21,Taal02!$C$100:$D$419,2,FALSE))=16,"XX",VLOOKUP(L21,Taal02!$C$100:$D$419,2,FALSE)))</f>
        <v>OO</v>
      </c>
      <c r="T22" s="802" t="str">
        <f>IF(S22="OO","LEEG",IF(S22="XX","FOUT",VLOOKUP(S22,Voorblad!$X$65:$Z$98,3,FALSE)))</f>
        <v>LEEG</v>
      </c>
      <c r="U22" s="318"/>
      <c r="V22" s="318"/>
      <c r="W22" s="318"/>
      <c r="X22" s="318"/>
      <c r="Y22" s="318"/>
      <c r="Z22" s="318"/>
      <c r="AA22" s="291" t="str">
        <f>Voorblad!X84</f>
        <v>E2</v>
      </c>
      <c r="AB22" s="317" t="str">
        <f ca="1">Voorblad!Y84</f>
        <v>Slowakije</v>
      </c>
      <c r="AC22" s="317" t="str">
        <f>Voorblad!Z84</f>
        <v>SK</v>
      </c>
      <c r="AD22" s="795">
        <f>IF($N$88="G1e",#REF!,0)</f>
        <v>0</v>
      </c>
      <c r="AE22" s="795">
        <f>IF($N$90="F1e",#REF!,0)</f>
        <v>0</v>
      </c>
      <c r="AF22" s="1102">
        <f t="shared" si="0"/>
        <v>0</v>
      </c>
      <c r="AG22" s="291">
        <f>IF($N$88="G1e",#REF!,0)</f>
        <v>0</v>
      </c>
      <c r="AH22" s="291">
        <f>IF($N$90="F1e",#REF!,0)</f>
        <v>0</v>
      </c>
      <c r="AI22" s="1103">
        <f t="shared" si="2"/>
        <v>0</v>
      </c>
      <c r="AJ22" s="795">
        <f t="shared" si="3"/>
        <v>0</v>
      </c>
      <c r="AK22" s="1368">
        <f t="shared" si="1"/>
        <v>1000000</v>
      </c>
      <c r="AL22" s="1368"/>
    </row>
    <row r="23" spans="2:38" ht="12" customHeight="1" x14ac:dyDescent="0.25">
      <c r="B23" s="17"/>
      <c r="C23" s="1049"/>
      <c r="D23" s="1382" t="str">
        <f ca="1">"¹: "&amp;IF($H$80=1,IF($H$85=1,Taal04!B94,Taal04!B95),Taal04!B93)</f>
        <v>¹: alleen de doelpunten gescoord gedurende de reguliere speeltijd inclusief blessuretijd worden meegeteld.</v>
      </c>
      <c r="E23" s="1382"/>
      <c r="F23" s="1382"/>
      <c r="G23" s="1382"/>
      <c r="H23" s="1382"/>
      <c r="I23" s="1382"/>
      <c r="J23" s="1382"/>
      <c r="K23" s="1382"/>
      <c r="L23" s="1382"/>
      <c r="M23" s="1382"/>
      <c r="N23" s="1382"/>
      <c r="O23" s="1382"/>
      <c r="P23" s="61"/>
      <c r="Q23" s="17"/>
      <c r="R23" s="44"/>
      <c r="S23" s="32"/>
      <c r="T23" s="118"/>
      <c r="U23" s="318"/>
      <c r="V23" s="318"/>
      <c r="W23" s="318"/>
      <c r="X23" s="318"/>
      <c r="Y23" s="318"/>
      <c r="Z23" s="318"/>
      <c r="AA23" s="291" t="str">
        <f>Voorblad!X85</f>
        <v>E3</v>
      </c>
      <c r="AB23" s="317" t="str">
        <f ca="1">Voorblad!Y85</f>
        <v>Roemenië</v>
      </c>
      <c r="AC23" s="317" t="str">
        <f>Voorblad!Z85</f>
        <v>RO</v>
      </c>
      <c r="AD23" s="795">
        <f>IF($N$88="G1e",#REF!,0)</f>
        <v>0</v>
      </c>
      <c r="AE23" s="795">
        <f>IF($N$90="F1e",#REF!,0)</f>
        <v>0</v>
      </c>
      <c r="AF23" s="1102">
        <f t="shared" si="0"/>
        <v>0</v>
      </c>
      <c r="AG23" s="291">
        <f>IF($N$88="G1e",#REF!,0)</f>
        <v>0</v>
      </c>
      <c r="AH23" s="291">
        <f>IF($N$90="F1e",#REF!,0)</f>
        <v>0</v>
      </c>
      <c r="AI23" s="1103">
        <f t="shared" si="2"/>
        <v>0</v>
      </c>
      <c r="AJ23" s="795">
        <f t="shared" si="3"/>
        <v>0</v>
      </c>
      <c r="AK23" s="1368">
        <f t="shared" si="1"/>
        <v>1000000</v>
      </c>
      <c r="AL23" s="1368"/>
    </row>
    <row r="24" spans="2:38" ht="12" customHeight="1" x14ac:dyDescent="0.25">
      <c r="B24" s="17"/>
      <c r="C24" s="1049"/>
      <c r="D24" s="1382" t="str">
        <f ca="1">"²: "&amp;Taal04!B96</f>
        <v>²: één rode kaart wordt geteld als twee gele kaarten, bij indirect rood worden de gele kaarten niet meegeteld.</v>
      </c>
      <c r="E24" s="1382"/>
      <c r="F24" s="1382"/>
      <c r="G24" s="1382"/>
      <c r="H24" s="1382"/>
      <c r="I24" s="1382"/>
      <c r="J24" s="1382"/>
      <c r="K24" s="1382"/>
      <c r="L24" s="1382"/>
      <c r="M24" s="1382"/>
      <c r="N24" s="1382"/>
      <c r="O24" s="1382"/>
      <c r="P24" s="61"/>
      <c r="Q24" s="17"/>
      <c r="R24" s="44"/>
      <c r="S24" s="32"/>
      <c r="T24" s="118"/>
      <c r="U24" s="318"/>
      <c r="V24" s="318"/>
      <c r="W24" s="318"/>
      <c r="X24" s="318"/>
      <c r="Y24" s="318"/>
      <c r="Z24" s="318"/>
      <c r="AA24" s="291" t="str">
        <f>Voorblad!X86</f>
        <v>E4</v>
      </c>
      <c r="AB24" s="317" t="str">
        <f ca="1">Voorblad!Y86</f>
        <v>Oekraïne</v>
      </c>
      <c r="AC24" s="317" t="str">
        <f>Voorblad!Z86</f>
        <v>UA</v>
      </c>
      <c r="AD24" s="795">
        <f>IF($N$88="G1e",#REF!,0)</f>
        <v>0</v>
      </c>
      <c r="AE24" s="795">
        <f>IF($N$90="F1e",#REF!,0)</f>
        <v>0</v>
      </c>
      <c r="AF24" s="1102">
        <f t="shared" si="0"/>
        <v>0</v>
      </c>
      <c r="AG24" s="291">
        <f>IF($N$88="G1e",#REF!,0)</f>
        <v>0</v>
      </c>
      <c r="AH24" s="291">
        <f>IF($N$90="F1e",#REF!,0)</f>
        <v>0</v>
      </c>
      <c r="AI24" s="1103">
        <f t="shared" si="2"/>
        <v>0</v>
      </c>
      <c r="AJ24" s="795">
        <f t="shared" si="3"/>
        <v>0</v>
      </c>
      <c r="AK24" s="1368">
        <f t="shared" si="1"/>
        <v>1000000</v>
      </c>
      <c r="AL24" s="1368"/>
    </row>
    <row r="25" spans="2:38" ht="15" customHeight="1" x14ac:dyDescent="0.25">
      <c r="B25" s="17"/>
      <c r="C25" s="1050"/>
      <c r="D25" s="108"/>
      <c r="E25" s="108"/>
      <c r="F25" s="108"/>
      <c r="G25" s="108"/>
      <c r="H25" s="108"/>
      <c r="I25" s="108"/>
      <c r="J25" s="108"/>
      <c r="K25" s="108"/>
      <c r="L25" s="108"/>
      <c r="M25" s="108"/>
      <c r="N25" s="108"/>
      <c r="O25" s="108"/>
      <c r="P25" s="1052"/>
      <c r="Q25" s="17"/>
      <c r="R25" s="44"/>
      <c r="S25" s="32"/>
      <c r="T25" s="118"/>
      <c r="U25" s="318"/>
      <c r="V25" s="318"/>
      <c r="W25" s="318"/>
      <c r="X25" s="318"/>
      <c r="Y25" s="318"/>
      <c r="Z25" s="318"/>
      <c r="AA25" s="291" t="str">
        <f>Voorblad!X87</f>
        <v>F1</v>
      </c>
      <c r="AB25" s="317" t="str">
        <f ca="1">Voorblad!Y87</f>
        <v>Turkije</v>
      </c>
      <c r="AC25" s="317" t="str">
        <f>Voorblad!Z87</f>
        <v>TR</v>
      </c>
      <c r="AD25" s="795">
        <f>IF($N$88="G1e",#REF!,0)</f>
        <v>0</v>
      </c>
      <c r="AE25" s="795">
        <f>IF($N$90="F1e",#REF!,0)</f>
        <v>0</v>
      </c>
      <c r="AF25" s="1102">
        <f t="shared" si="0"/>
        <v>0</v>
      </c>
      <c r="AG25" s="291">
        <f>IF($N$88="G1e",#REF!,0)</f>
        <v>0</v>
      </c>
      <c r="AH25" s="291">
        <f>IF($N$90="F1e",#REF!,0)</f>
        <v>0</v>
      </c>
      <c r="AI25" s="1103">
        <f t="shared" si="2"/>
        <v>0</v>
      </c>
      <c r="AJ25" s="795">
        <f t="shared" si="3"/>
        <v>0</v>
      </c>
      <c r="AK25" s="1368">
        <f t="shared" si="1"/>
        <v>1000000</v>
      </c>
      <c r="AL25" s="1368"/>
    </row>
    <row r="26" spans="2:38" ht="15" customHeight="1" x14ac:dyDescent="0.25">
      <c r="B26" s="17"/>
      <c r="C26" s="12"/>
      <c r="D26" s="12"/>
      <c r="E26" s="12"/>
      <c r="F26" s="12"/>
      <c r="G26" s="12"/>
      <c r="H26" s="12"/>
      <c r="I26" s="12"/>
      <c r="J26" s="12"/>
      <c r="K26" s="12"/>
      <c r="L26" s="12"/>
      <c r="M26" s="12"/>
      <c r="N26" s="12"/>
      <c r="O26" s="12"/>
      <c r="P26" s="12"/>
      <c r="Q26" s="17"/>
      <c r="R26" s="44"/>
      <c r="T26" s="49"/>
      <c r="U26" s="49"/>
      <c r="V26" s="318"/>
      <c r="W26" s="318"/>
      <c r="X26" s="318"/>
      <c r="Y26" s="1104"/>
      <c r="Z26" s="318"/>
      <c r="AA26" s="291" t="str">
        <f>Voorblad!X88</f>
        <v>F2</v>
      </c>
      <c r="AB26" s="317" t="str">
        <f ca="1">Voorblad!Y88</f>
        <v>Georgië</v>
      </c>
      <c r="AC26" s="317" t="str">
        <f>Voorblad!Z88</f>
        <v>GE</v>
      </c>
      <c r="AD26" s="795">
        <f>IF($N$88="G1e",#REF!,0)</f>
        <v>0</v>
      </c>
      <c r="AE26" s="795">
        <f>IF($N$90="F1e",#REF!,0)</f>
        <v>0</v>
      </c>
      <c r="AF26" s="1102">
        <f t="shared" si="0"/>
        <v>0</v>
      </c>
      <c r="AG26" s="291">
        <f>IF($N$88="G1e",#REF!,0)</f>
        <v>0</v>
      </c>
      <c r="AH26" s="291">
        <f>IF($N$90="F1e",#REF!,0)</f>
        <v>0</v>
      </c>
      <c r="AI26" s="1103">
        <f t="shared" si="2"/>
        <v>0</v>
      </c>
      <c r="AJ26" s="795">
        <f t="shared" si="3"/>
        <v>0</v>
      </c>
      <c r="AK26" s="1368">
        <f>1000000+AJ26*1000+AF26</f>
        <v>1000000</v>
      </c>
      <c r="AL26" s="1368"/>
    </row>
    <row r="27" spans="2:38" ht="15" customHeight="1" x14ac:dyDescent="0.25">
      <c r="B27" s="17"/>
      <c r="C27" s="1075"/>
      <c r="D27" s="1090" t="str">
        <f ca="1">Taal04!B98</f>
        <v>De Benaderingsvragen</v>
      </c>
      <c r="E27" s="1090"/>
      <c r="F27" s="1090"/>
      <c r="G27" s="1090"/>
      <c r="H27" s="1090"/>
      <c r="I27" s="1090"/>
      <c r="J27" s="1090"/>
      <c r="K27" s="1090"/>
      <c r="L27" s="1090"/>
      <c r="M27" s="1090"/>
      <c r="N27" s="1090"/>
      <c r="O27" s="1090"/>
      <c r="P27" s="1079"/>
      <c r="Q27" s="17"/>
      <c r="R27" s="44"/>
      <c r="S27" s="32"/>
      <c r="T27" s="118"/>
      <c r="U27" s="318"/>
      <c r="V27" s="318"/>
      <c r="W27" s="318"/>
      <c r="X27" s="318"/>
      <c r="Y27" s="318"/>
      <c r="Z27" s="318"/>
      <c r="AA27" s="291" t="str">
        <f>Voorblad!X89</f>
        <v>F3</v>
      </c>
      <c r="AB27" s="317" t="str">
        <f ca="1">Voorblad!Y89</f>
        <v>Portugal</v>
      </c>
      <c r="AC27" s="317" t="str">
        <f>Voorblad!Z89</f>
        <v>PT</v>
      </c>
      <c r="AD27" s="795">
        <f>IF($N$88="G1e",#REF!,0)</f>
        <v>0</v>
      </c>
      <c r="AE27" s="795">
        <f>IF($N$90="F1e",#REF!,0)</f>
        <v>0</v>
      </c>
      <c r="AF27" s="1102">
        <f t="shared" si="0"/>
        <v>0</v>
      </c>
      <c r="AG27" s="291">
        <f>IF($N$88="G1e",#REF!,0)</f>
        <v>0</v>
      </c>
      <c r="AH27" s="291">
        <f>IF($N$90="F1e",#REF!,0)</f>
        <v>0</v>
      </c>
      <c r="AI27" s="1103">
        <f t="shared" si="2"/>
        <v>0</v>
      </c>
      <c r="AJ27" s="795">
        <f t="shared" si="3"/>
        <v>0</v>
      </c>
      <c r="AK27" s="1368">
        <f t="shared" si="1"/>
        <v>1000000</v>
      </c>
      <c r="AL27" s="1368"/>
    </row>
    <row r="28" spans="2:38" ht="15" customHeight="1" x14ac:dyDescent="0.25">
      <c r="B28" s="17"/>
      <c r="C28" s="1049"/>
      <c r="D28" s="17"/>
      <c r="E28" s="17"/>
      <c r="F28" s="17"/>
      <c r="G28" s="17"/>
      <c r="H28" s="17"/>
      <c r="I28" s="17"/>
      <c r="J28" s="17"/>
      <c r="K28" s="17"/>
      <c r="L28" s="17"/>
      <c r="M28" s="17"/>
      <c r="N28" s="17"/>
      <c r="O28" s="17"/>
      <c r="P28" s="61"/>
      <c r="Q28" s="17"/>
      <c r="R28" s="44"/>
      <c r="S28" s="32"/>
      <c r="T28" s="118"/>
      <c r="U28" s="318"/>
      <c r="V28" s="318"/>
      <c r="W28" s="318"/>
      <c r="X28" s="318"/>
      <c r="Y28" s="318"/>
      <c r="Z28" s="318"/>
      <c r="AA28" s="291" t="str">
        <f>Voorblad!X90</f>
        <v>F4</v>
      </c>
      <c r="AB28" s="317" t="str">
        <f ca="1">Voorblad!Y90</f>
        <v>Tsjechië</v>
      </c>
      <c r="AC28" s="317" t="str">
        <f>Voorblad!Z90</f>
        <v>CZ</v>
      </c>
      <c r="AD28" s="795">
        <f>IF($N$88="G1e",#REF!,0)</f>
        <v>0</v>
      </c>
      <c r="AE28" s="795">
        <f>IF($N$90="F1e",#REF!,0)</f>
        <v>0</v>
      </c>
      <c r="AF28" s="1102">
        <f t="shared" si="0"/>
        <v>0</v>
      </c>
      <c r="AG28" s="291">
        <f>IF($N$88="G1e",#REF!,0)</f>
        <v>0</v>
      </c>
      <c r="AH28" s="291">
        <f>IF($N$90="F1e",#REF!,0)</f>
        <v>0</v>
      </c>
      <c r="AI28" s="1103">
        <f t="shared" si="2"/>
        <v>0</v>
      </c>
      <c r="AJ28" s="795">
        <f t="shared" si="3"/>
        <v>0</v>
      </c>
      <c r="AK28" s="1368">
        <f t="shared" si="1"/>
        <v>1000000</v>
      </c>
      <c r="AL28" s="1368"/>
    </row>
    <row r="29" spans="2:38" ht="15" customHeight="1" x14ac:dyDescent="0.25">
      <c r="B29" s="17"/>
      <c r="C29" s="1049"/>
      <c r="D29" s="1380" t="str">
        <f ca="1">IF($H$80=0,Voorblad!$L$81,SUBSTITUTE(SUBSTITUTE(IF($H$83=1,IF($H$82=1,Taal04!B99,Taal04!B100),IF($H$83=2,IF($I$83=1,Taal04!B101,Taal04!B102),IF($H$83=3,IF($I$83=1,IF($H$82=1,Taal04!B103,Taal04!B104),IF($H$82=1,Taal04!B105,Taal04!B106)),Voorblad!$L$81))),"##",H82),"$$",I83))</f>
        <v>Voor elk goed beantwoorde benaderingsvraag ontvangt u 5 punten.</v>
      </c>
      <c r="E29" s="1380"/>
      <c r="F29" s="1380"/>
      <c r="G29" s="1380"/>
      <c r="H29" s="1380"/>
      <c r="I29" s="1380"/>
      <c r="J29" s="1380"/>
      <c r="K29" s="1380"/>
      <c r="L29" s="1380"/>
      <c r="M29" s="1380"/>
      <c r="N29" s="1380"/>
      <c r="O29" s="1380"/>
      <c r="P29" s="1381"/>
      <c r="Q29" s="17"/>
      <c r="R29" s="44"/>
      <c r="S29" s="32"/>
      <c r="T29" s="118"/>
      <c r="U29" s="318"/>
      <c r="V29" s="318"/>
      <c r="W29" s="318"/>
      <c r="X29" s="318"/>
      <c r="Y29" s="318"/>
      <c r="Z29" s="318"/>
      <c r="AA29" s="291" t="str">
        <f>Voorblad!X91</f>
        <v>G1</v>
      </c>
      <c r="AB29" s="317" t="str">
        <f ca="1">Voorblad!Y91</f>
        <v>ZZZ_land_G1</v>
      </c>
      <c r="AC29" s="317" t="str">
        <f>Voorblad!Z91</f>
        <v>ZA</v>
      </c>
      <c r="AD29" s="795">
        <f>IF($N$88="G1e",#REF!,0)</f>
        <v>0</v>
      </c>
      <c r="AE29" s="795">
        <f>IF($N$90="F1e",#REF!,0)</f>
        <v>0</v>
      </c>
      <c r="AF29" s="1102">
        <f t="shared" si="0"/>
        <v>0</v>
      </c>
      <c r="AG29" s="291">
        <f>IF($N$88="G1e",#REF!,0)</f>
        <v>0</v>
      </c>
      <c r="AH29" s="291">
        <f>IF($N$90="F1e",#REF!,0)</f>
        <v>0</v>
      </c>
      <c r="AI29" s="1103">
        <f t="shared" si="2"/>
        <v>0</v>
      </c>
      <c r="AJ29" s="795">
        <f t="shared" si="3"/>
        <v>0</v>
      </c>
      <c r="AK29" s="1368">
        <f t="shared" si="1"/>
        <v>1000000</v>
      </c>
      <c r="AL29" s="1368"/>
    </row>
    <row r="30" spans="2:38" x14ac:dyDescent="0.25">
      <c r="B30" s="17"/>
      <c r="C30" s="1049"/>
      <c r="D30" s="1380"/>
      <c r="E30" s="1380"/>
      <c r="F30" s="1380"/>
      <c r="G30" s="1380"/>
      <c r="H30" s="1380"/>
      <c r="I30" s="1380"/>
      <c r="J30" s="1380"/>
      <c r="K30" s="1380"/>
      <c r="L30" s="1380"/>
      <c r="M30" s="1380"/>
      <c r="N30" s="1380"/>
      <c r="O30" s="1380"/>
      <c r="P30" s="1381"/>
      <c r="Q30" s="17"/>
      <c r="R30" s="44"/>
      <c r="S30" s="32"/>
      <c r="T30" s="118"/>
      <c r="U30" s="318"/>
      <c r="V30" s="318"/>
      <c r="W30" s="318"/>
      <c r="X30" s="318"/>
      <c r="Y30" s="318"/>
      <c r="Z30" s="318"/>
      <c r="AA30" s="291" t="str">
        <f>Voorblad!X92</f>
        <v>G2</v>
      </c>
      <c r="AB30" s="317" t="str">
        <f ca="1">Voorblad!Y92</f>
        <v>ZZZ_land_G2</v>
      </c>
      <c r="AC30" s="317" t="str">
        <f>Voorblad!Z92</f>
        <v>ZB</v>
      </c>
      <c r="AD30" s="795">
        <f>IF($N$88="G1e",#REF!,0)</f>
        <v>0</v>
      </c>
      <c r="AE30" s="795">
        <f>IF($N$90="F1e",#REF!,0)</f>
        <v>0</v>
      </c>
      <c r="AF30" s="1102">
        <f t="shared" ref="AF30:AF36" si="4">AD30+AE30</f>
        <v>0</v>
      </c>
      <c r="AG30" s="291">
        <f>IF($N$88="G1e",#REF!,0)</f>
        <v>0</v>
      </c>
      <c r="AH30" s="291">
        <f>IF($N$90="F1e",#REF!,0)</f>
        <v>0</v>
      </c>
      <c r="AI30" s="1103">
        <f t="shared" ref="AI30:AI36" si="5">AG30+AH30</f>
        <v>0</v>
      </c>
      <c r="AJ30" s="795">
        <f t="shared" si="3"/>
        <v>0</v>
      </c>
      <c r="AK30" s="1368">
        <f t="shared" si="1"/>
        <v>1000000</v>
      </c>
      <c r="AL30" s="1368"/>
    </row>
    <row r="31" spans="2:38" ht="12" customHeight="1" x14ac:dyDescent="0.25">
      <c r="B31" s="17"/>
      <c r="C31" s="1049"/>
      <c r="D31" s="17"/>
      <c r="E31" s="17"/>
      <c r="F31" s="17"/>
      <c r="G31" s="17"/>
      <c r="H31" s="17"/>
      <c r="I31" s="17"/>
      <c r="J31" s="780"/>
      <c r="K31" s="17"/>
      <c r="L31" s="17"/>
      <c r="M31" s="39"/>
      <c r="N31" s="39"/>
      <c r="O31" s="17"/>
      <c r="P31" s="61"/>
      <c r="Q31" s="17"/>
      <c r="S31" s="32"/>
      <c r="T31" s="118"/>
      <c r="U31" s="318"/>
      <c r="V31" s="318"/>
      <c r="W31" s="318"/>
      <c r="X31" s="318"/>
      <c r="Y31" s="318"/>
      <c r="Z31" s="318"/>
      <c r="AA31" s="291" t="str">
        <f>Voorblad!X93</f>
        <v>G3</v>
      </c>
      <c r="AB31" s="317" t="str">
        <f ca="1">Voorblad!Y93</f>
        <v>ZZZ_land_G3</v>
      </c>
      <c r="AC31" s="317" t="str">
        <f>Voorblad!Z93</f>
        <v>ZC</v>
      </c>
      <c r="AD31" s="795">
        <f>IF($N$88="G1e",#REF!,0)</f>
        <v>0</v>
      </c>
      <c r="AE31" s="795">
        <f>IF($N$90="F1e",#REF!,0)</f>
        <v>0</v>
      </c>
      <c r="AF31" s="1102">
        <f t="shared" si="4"/>
        <v>0</v>
      </c>
      <c r="AG31" s="291">
        <f>IF($N$88="G1e",#REF!,0)</f>
        <v>0</v>
      </c>
      <c r="AH31" s="291">
        <f>IF($N$90="F1e",#REF!,0)</f>
        <v>0</v>
      </c>
      <c r="AI31" s="1103">
        <f t="shared" si="5"/>
        <v>0</v>
      </c>
      <c r="AJ31" s="795">
        <f t="shared" si="3"/>
        <v>0</v>
      </c>
      <c r="AK31" s="1368">
        <f t="shared" si="1"/>
        <v>1000000</v>
      </c>
      <c r="AL31" s="1368"/>
    </row>
    <row r="32" spans="2:38" ht="15" customHeight="1" x14ac:dyDescent="0.25">
      <c r="B32" s="17"/>
      <c r="C32" s="1049"/>
      <c r="D32" s="1376" t="str">
        <f ca="1">Taal04!B107&amp;" ¹"</f>
        <v>Totaal aantal gescoorde doelpunten tijdens het gehele toernooi ¹</v>
      </c>
      <c r="E32" s="1376"/>
      <c r="F32" s="1376"/>
      <c r="G32" s="1376"/>
      <c r="H32" s="1376"/>
      <c r="I32" s="1376"/>
      <c r="J32" s="1376"/>
      <c r="K32" s="1376"/>
      <c r="L32" s="1376"/>
      <c r="M32" s="780" t="s">
        <v>16</v>
      </c>
      <c r="N32" s="380"/>
      <c r="O32" s="39"/>
      <c r="P32" s="61"/>
      <c r="Q32" s="17"/>
      <c r="S32" s="32" t="str">
        <f>IF(ISBLANK(N32),"LEEG",IF(ISNUMBER(N32),IF(AND(N32&lt;1000,N32&gt;=0),IF(N32=ROUND(N32,0),"GOED","ONGELDIG"),"FOUT"),"ONGELDIG"))</f>
        <v>LEEG</v>
      </c>
      <c r="T32" s="118" t="str">
        <f>IF(S32="GOED",IF(N32&lt;10,"##"&amp;N32,IF(N32&lt;100,"#"&amp;N32,N32))&amp;"|","FOUT")</f>
        <v>FOUT</v>
      </c>
      <c r="U32" s="318" t="str">
        <f ca="1">AE106</f>
        <v>geen suggestie mogelijk</v>
      </c>
      <c r="V32" s="318"/>
      <c r="W32" s="318"/>
      <c r="X32" s="318"/>
      <c r="Y32" s="318"/>
      <c r="Z32" s="318"/>
      <c r="AA32" s="291" t="str">
        <f>Voorblad!X94</f>
        <v>G4</v>
      </c>
      <c r="AB32" s="317" t="str">
        <f ca="1">Voorblad!Y94</f>
        <v>ZZZ_land_G4</v>
      </c>
      <c r="AC32" s="317" t="str">
        <f>Voorblad!Z94</f>
        <v>ZD</v>
      </c>
      <c r="AD32" s="795">
        <f>IF($N$88="G1e",#REF!,0)</f>
        <v>0</v>
      </c>
      <c r="AE32" s="795">
        <f>IF($N$90="F1e",#REF!,0)</f>
        <v>0</v>
      </c>
      <c r="AF32" s="1102">
        <f t="shared" si="4"/>
        <v>0</v>
      </c>
      <c r="AG32" s="291">
        <f>IF($N$88="G1e",#REF!,0)</f>
        <v>0</v>
      </c>
      <c r="AH32" s="291">
        <f>IF($N$90="F1e",#REF!,0)</f>
        <v>0</v>
      </c>
      <c r="AI32" s="1103">
        <f t="shared" si="5"/>
        <v>0</v>
      </c>
      <c r="AJ32" s="795">
        <f t="shared" si="3"/>
        <v>0</v>
      </c>
      <c r="AK32" s="1368">
        <f t="shared" si="1"/>
        <v>1000000</v>
      </c>
      <c r="AL32" s="1368"/>
    </row>
    <row r="33" spans="2:38" x14ac:dyDescent="0.25">
      <c r="B33" s="17"/>
      <c r="C33" s="1049"/>
      <c r="D33" s="1042"/>
      <c r="E33" s="1042"/>
      <c r="F33" s="1042"/>
      <c r="G33" s="1042"/>
      <c r="H33" s="1042"/>
      <c r="I33" s="1042"/>
      <c r="J33" s="786"/>
      <c r="K33" s="786"/>
      <c r="L33" s="1042"/>
      <c r="M33" s="780"/>
      <c r="N33" s="17"/>
      <c r="O33" s="39"/>
      <c r="P33" s="61"/>
      <c r="Q33" s="17"/>
      <c r="S33" s="32"/>
      <c r="T33" s="118"/>
      <c r="U33" s="1419" t="str">
        <f ca="1">IF($AH$106="opm1",$S$89,"")</f>
        <v/>
      </c>
      <c r="V33" s="1419"/>
      <c r="W33" s="1419"/>
      <c r="X33" s="1419"/>
      <c r="Y33" s="1419"/>
      <c r="Z33" s="1419"/>
      <c r="AA33" s="291" t="str">
        <f>Voorblad!X95</f>
        <v>H1</v>
      </c>
      <c r="AB33" s="317" t="str">
        <f ca="1">Voorblad!Y95</f>
        <v>ZZZ_land_H1</v>
      </c>
      <c r="AC33" s="317" t="str">
        <f>Voorblad!Z95</f>
        <v>ZE</v>
      </c>
      <c r="AD33" s="795">
        <f>IF($N$88="G1e",#REF!,0)</f>
        <v>0</v>
      </c>
      <c r="AE33" s="795">
        <f>IF($N$90="F1e",#REF!,0)</f>
        <v>0</v>
      </c>
      <c r="AF33" s="1102">
        <f t="shared" si="4"/>
        <v>0</v>
      </c>
      <c r="AG33" s="291">
        <f>IF($N$88="G1e",#REF!,0)</f>
        <v>0</v>
      </c>
      <c r="AH33" s="291">
        <f>IF($N$90="F1e",#REF!,0)</f>
        <v>0</v>
      </c>
      <c r="AI33" s="1103">
        <f t="shared" si="5"/>
        <v>0</v>
      </c>
      <c r="AJ33" s="795">
        <f t="shared" si="3"/>
        <v>0</v>
      </c>
      <c r="AK33" s="1368">
        <f t="shared" si="1"/>
        <v>1000000</v>
      </c>
      <c r="AL33" s="1368"/>
    </row>
    <row r="34" spans="2:38" ht="15" customHeight="1" x14ac:dyDescent="0.25">
      <c r="B34" s="17"/>
      <c r="C34" s="1049"/>
      <c r="D34" s="1376" t="str">
        <f ca="1">Taal04!B108&amp;" ²"</f>
        <v>Totaal aantal gegeven gele kaarten tijdens het gehele toernooi ²</v>
      </c>
      <c r="E34" s="1376"/>
      <c r="F34" s="1376"/>
      <c r="G34" s="1376"/>
      <c r="H34" s="1376"/>
      <c r="I34" s="1376"/>
      <c r="J34" s="1376"/>
      <c r="K34" s="1376"/>
      <c r="L34" s="1376"/>
      <c r="M34" s="780" t="s">
        <v>16</v>
      </c>
      <c r="N34" s="380"/>
      <c r="O34" s="39"/>
      <c r="P34" s="61"/>
      <c r="Q34" s="17"/>
      <c r="S34" s="32" t="str">
        <f>IF(ISBLANK(N34),"LEEG",IF(ISNUMBER(N34),IF(AND(N34&lt;1000,N34&gt;=0),IF(N34=ROUND(N34,0),"GOED","ONGELDIG"),"FOUT"),"ONGELDIG"))</f>
        <v>LEEG</v>
      </c>
      <c r="T34" s="118" t="str">
        <f>IF(S34="GOED",IF(N34&lt;10,"##"&amp;N34,IF(N34&lt;100,"#"&amp;N34,N34))&amp;"|","FOUT")</f>
        <v>FOUT</v>
      </c>
      <c r="U34" s="318" t="str">
        <f ca="1">AE107</f>
        <v>geen suggestie mogelijk</v>
      </c>
      <c r="V34" s="318"/>
      <c r="W34" s="318"/>
      <c r="X34" s="318"/>
      <c r="Y34" s="318"/>
      <c r="Z34" s="318"/>
      <c r="AA34" s="291" t="str">
        <f>Voorblad!X96</f>
        <v>H2</v>
      </c>
      <c r="AB34" s="317" t="str">
        <f ca="1">Voorblad!Y96</f>
        <v>ZZZ_land_H2</v>
      </c>
      <c r="AC34" s="317" t="str">
        <f>Voorblad!Z96</f>
        <v>ZF</v>
      </c>
      <c r="AD34" s="795">
        <f>IF($N$88="G1e",#REF!,0)</f>
        <v>0</v>
      </c>
      <c r="AE34" s="795">
        <f>IF($N$90="F1e",#REF!,0)</f>
        <v>0</v>
      </c>
      <c r="AF34" s="1102">
        <f t="shared" si="4"/>
        <v>0</v>
      </c>
      <c r="AG34" s="291">
        <f>IF($N$88="G1e",#REF!,0)</f>
        <v>0</v>
      </c>
      <c r="AH34" s="291">
        <f>IF($N$90="F1e",#REF!,0)</f>
        <v>0</v>
      </c>
      <c r="AI34" s="1103">
        <f t="shared" si="5"/>
        <v>0</v>
      </c>
      <c r="AJ34" s="795">
        <f t="shared" si="3"/>
        <v>0</v>
      </c>
      <c r="AK34" s="1368">
        <f t="shared" si="1"/>
        <v>1000000</v>
      </c>
      <c r="AL34" s="1368"/>
    </row>
    <row r="35" spans="2:38" x14ac:dyDescent="0.25">
      <c r="B35" s="17"/>
      <c r="C35" s="1049"/>
      <c r="D35" s="1042"/>
      <c r="E35" s="1042"/>
      <c r="F35" s="1042"/>
      <c r="G35" s="1042"/>
      <c r="H35" s="1042"/>
      <c r="I35" s="1042"/>
      <c r="J35" s="786"/>
      <c r="K35" s="786"/>
      <c r="L35" s="1042"/>
      <c r="M35" s="17"/>
      <c r="N35" s="17"/>
      <c r="O35" s="39"/>
      <c r="P35" s="61"/>
      <c r="Q35" s="17"/>
      <c r="S35" s="32"/>
      <c r="T35" s="118"/>
      <c r="U35" s="318"/>
      <c r="V35" s="318"/>
      <c r="W35" s="318"/>
      <c r="X35" s="318"/>
      <c r="Y35" s="318"/>
      <c r="Z35" s="318"/>
      <c r="AA35" s="291" t="str">
        <f>Voorblad!X97</f>
        <v>H3</v>
      </c>
      <c r="AB35" s="317" t="str">
        <f ca="1">Voorblad!Y97</f>
        <v>ZZZ_land_H3</v>
      </c>
      <c r="AC35" s="317" t="str">
        <f>Voorblad!Z97</f>
        <v>ZG</v>
      </c>
      <c r="AD35" s="795">
        <f>IF($N$88="G1e",#REF!,0)</f>
        <v>0</v>
      </c>
      <c r="AE35" s="795">
        <f>IF($N$90="F1e",#REF!,0)</f>
        <v>0</v>
      </c>
      <c r="AF35" s="1102">
        <f t="shared" si="4"/>
        <v>0</v>
      </c>
      <c r="AG35" s="291">
        <f>IF($N$88="G1e",#REF!,0)</f>
        <v>0</v>
      </c>
      <c r="AH35" s="291">
        <f>IF($N$90="F1e",#REF!,0)</f>
        <v>0</v>
      </c>
      <c r="AI35" s="1103">
        <f t="shared" si="5"/>
        <v>0</v>
      </c>
      <c r="AJ35" s="795">
        <f t="shared" si="3"/>
        <v>0</v>
      </c>
      <c r="AK35" s="1368">
        <f t="shared" si="1"/>
        <v>1000000</v>
      </c>
      <c r="AL35" s="1368"/>
    </row>
    <row r="36" spans="2:38" x14ac:dyDescent="0.25">
      <c r="B36" s="17"/>
      <c r="C36" s="1049"/>
      <c r="D36" s="1376" t="str">
        <f ca="1">Taal04!B109&amp;" ²"</f>
        <v>Totaal aantal gegeven rode kaarten tijdens het gehele toernooi ²</v>
      </c>
      <c r="E36" s="1376"/>
      <c r="F36" s="1376"/>
      <c r="G36" s="1376"/>
      <c r="H36" s="1376"/>
      <c r="I36" s="1376"/>
      <c r="J36" s="1376"/>
      <c r="K36" s="1376"/>
      <c r="L36" s="1376"/>
      <c r="M36" s="780" t="s">
        <v>16</v>
      </c>
      <c r="N36" s="380"/>
      <c r="O36" s="39"/>
      <c r="P36" s="61"/>
      <c r="Q36" s="17"/>
      <c r="S36" s="32" t="str">
        <f>IF(ISBLANK(N36),"LEEG",IF(ISNUMBER(N36),IF(AND(N36&lt;1000,N36&gt;=0),IF(N36=ROUND(N36,0),"GOED","ONGELDIG"),"FOUT"),"ONGELDIG"))</f>
        <v>LEEG</v>
      </c>
      <c r="T36" s="118" t="str">
        <f>IF(S36="GOED",IF(N36&lt;10,"##"&amp;N36,IF(N36&lt;100,"#"&amp;N36,N36))&amp;"|","FOUT")</f>
        <v>FOUT</v>
      </c>
      <c r="U36" s="318" t="str">
        <f ca="1">AE108</f>
        <v>geen suggestie mogelijk</v>
      </c>
      <c r="V36" s="318"/>
      <c r="W36" s="318"/>
      <c r="X36" s="318"/>
      <c r="Y36" s="318"/>
      <c r="Z36" s="318"/>
      <c r="AA36" s="291" t="str">
        <f>Voorblad!X98</f>
        <v>H4</v>
      </c>
      <c r="AB36" s="317" t="str">
        <f ca="1">Voorblad!Y98</f>
        <v>ZZZ_land_H4</v>
      </c>
      <c r="AC36" s="317" t="str">
        <f>Voorblad!Z98</f>
        <v>ZH</v>
      </c>
      <c r="AD36" s="795">
        <f>IF($N$88="G1e",#REF!,0)</f>
        <v>0</v>
      </c>
      <c r="AE36" s="795">
        <f>IF($N$90="F1e",#REF!,0)</f>
        <v>0</v>
      </c>
      <c r="AF36" s="1102">
        <f t="shared" si="4"/>
        <v>0</v>
      </c>
      <c r="AG36" s="291">
        <f>IF($N$88="G1e",#REF!,0)</f>
        <v>0</v>
      </c>
      <c r="AH36" s="291">
        <f>IF($N$90="F1e",#REF!,0)</f>
        <v>0</v>
      </c>
      <c r="AI36" s="1103">
        <f t="shared" si="5"/>
        <v>0</v>
      </c>
      <c r="AJ36" s="795">
        <f t="shared" si="3"/>
        <v>0</v>
      </c>
      <c r="AK36" s="1368">
        <f t="shared" si="1"/>
        <v>1000000</v>
      </c>
      <c r="AL36" s="1368"/>
    </row>
    <row r="37" spans="2:38" x14ac:dyDescent="0.25">
      <c r="B37" s="17"/>
      <c r="C37" s="1049"/>
      <c r="D37" s="1042"/>
      <c r="E37" s="1042"/>
      <c r="F37" s="1042"/>
      <c r="G37" s="1042"/>
      <c r="H37" s="1042"/>
      <c r="I37" s="1042"/>
      <c r="J37" s="786"/>
      <c r="K37" s="786"/>
      <c r="L37" s="1042"/>
      <c r="M37" s="17"/>
      <c r="N37" s="17"/>
      <c r="O37" s="39"/>
      <c r="P37" s="61"/>
      <c r="Q37" s="17"/>
      <c r="S37" s="32"/>
      <c r="T37" s="118"/>
      <c r="U37" s="318"/>
      <c r="V37" s="318"/>
      <c r="W37" s="318"/>
      <c r="X37" s="318"/>
      <c r="Y37" s="318"/>
      <c r="Z37" s="318"/>
      <c r="AA37" s="287"/>
      <c r="AB37" s="287"/>
      <c r="AC37" s="782" t="s">
        <v>322</v>
      </c>
      <c r="AD37" s="796">
        <f t="shared" ref="AD37:AI37" si="6">SUM(AD5:AD36)</f>
        <v>0</v>
      </c>
      <c r="AE37" s="796">
        <f t="shared" si="6"/>
        <v>0</v>
      </c>
      <c r="AF37" s="296">
        <f t="shared" si="6"/>
        <v>0</v>
      </c>
      <c r="AG37" s="782">
        <f t="shared" si="6"/>
        <v>0</v>
      </c>
      <c r="AH37" s="782">
        <f t="shared" si="6"/>
        <v>0</v>
      </c>
      <c r="AI37" s="296">
        <f t="shared" si="6"/>
        <v>0</v>
      </c>
      <c r="AJ37" s="795"/>
      <c r="AK37" s="1384">
        <f>LARGE(AK5:AL36,1)</f>
        <v>1000000</v>
      </c>
      <c r="AL37" s="1385"/>
    </row>
    <row r="38" spans="2:38" x14ac:dyDescent="0.25">
      <c r="B38" s="17"/>
      <c r="C38" s="1049"/>
      <c r="D38" s="1376" t="str">
        <f ca="1">Taal04!B110&amp;" ³"</f>
        <v>Aantal wedstrijden die eindigen in een gelijkspel voor beide teams ³</v>
      </c>
      <c r="E38" s="1376"/>
      <c r="F38" s="1376"/>
      <c r="G38" s="1376"/>
      <c r="H38" s="1376"/>
      <c r="I38" s="1376"/>
      <c r="J38" s="1376"/>
      <c r="K38" s="1376"/>
      <c r="L38" s="1376"/>
      <c r="M38" s="780" t="s">
        <v>16</v>
      </c>
      <c r="N38" s="380"/>
      <c r="O38" s="39"/>
      <c r="P38" s="61"/>
      <c r="Q38" s="17"/>
      <c r="S38" s="32" t="str">
        <f>IF(ISBLANK(N38),"LEEG",IF(ISNUMBER(N38),IF(AND(N38&lt;100,N38&gt;=0),IF(N38=ROUND(N38,0),"GOED","ONGELDIG"),"FOUT"),"ONGELDIG"))</f>
        <v>LEEG</v>
      </c>
      <c r="T38" s="118" t="str">
        <f>IF(S38="GOED",IF(N38&lt;10,"#"&amp;N38,N38)&amp;"|","FOUT")</f>
        <v>FOUT</v>
      </c>
      <c r="U38" s="318" t="str">
        <f ca="1">AE109</f>
        <v>onvoldoende gegevens voor suggestie</v>
      </c>
      <c r="V38" s="318"/>
      <c r="W38" s="318"/>
      <c r="X38" s="318"/>
      <c r="Y38" s="318"/>
      <c r="Z38" s="318"/>
    </row>
    <row r="39" spans="2:38" x14ac:dyDescent="0.25">
      <c r="B39" s="17"/>
      <c r="C39" s="1049"/>
      <c r="D39" s="1042"/>
      <c r="E39" s="1042"/>
      <c r="F39" s="1042"/>
      <c r="G39" s="1042"/>
      <c r="H39" s="1042"/>
      <c r="I39" s="1042"/>
      <c r="J39" s="786"/>
      <c r="K39" s="786"/>
      <c r="L39" s="1042"/>
      <c r="M39" s="17"/>
      <c r="N39" s="17"/>
      <c r="O39" s="39"/>
      <c r="P39" s="61"/>
      <c r="Q39" s="17"/>
      <c r="S39" s="32"/>
      <c r="T39" s="118"/>
      <c r="U39" s="1419" t="str">
        <f ca="1">IF($AH$109="opm1",$S$89,"")</f>
        <v/>
      </c>
      <c r="V39" s="1419"/>
      <c r="W39" s="1419"/>
      <c r="X39" s="1419"/>
      <c r="Y39" s="1419"/>
      <c r="Z39" s="1419"/>
      <c r="AA39" s="842" t="s">
        <v>1152</v>
      </c>
      <c r="AB39" s="285"/>
      <c r="AC39" s="285"/>
      <c r="AD39" s="285"/>
      <c r="AE39" s="285"/>
      <c r="AF39" s="285"/>
      <c r="AG39" s="285"/>
      <c r="AH39" s="285"/>
      <c r="AI39" s="285"/>
      <c r="AJ39" s="285"/>
      <c r="AK39" s="285"/>
      <c r="AL39" s="285"/>
    </row>
    <row r="40" spans="2:38" x14ac:dyDescent="0.25">
      <c r="B40" s="17"/>
      <c r="C40" s="1049"/>
      <c r="D40" s="1376" t="str">
        <f ca="1">Taal04!B111&amp;" ³"</f>
        <v>Aantal wedstrijden die eindigen in winst voor één van de teams ³</v>
      </c>
      <c r="E40" s="1376"/>
      <c r="F40" s="1376"/>
      <c r="G40" s="1376"/>
      <c r="H40" s="1376"/>
      <c r="I40" s="1376"/>
      <c r="J40" s="1376"/>
      <c r="K40" s="1376"/>
      <c r="L40" s="1376"/>
      <c r="M40" s="780" t="s">
        <v>16</v>
      </c>
      <c r="N40" s="380"/>
      <c r="O40" s="39"/>
      <c r="P40" s="61"/>
      <c r="Q40" s="17"/>
      <c r="S40" s="32" t="str">
        <f>IF(ISBLANK(N40),"LEEG",IF(ISNUMBER(N40),IF(AND(N40&lt;100,N40&gt;=0),IF(N40=ROUND(N40,0),"GOED","ONGELDIG"),"FOUT"),"ONGELDIG"))</f>
        <v>LEEG</v>
      </c>
      <c r="T40" s="118" t="str">
        <f>IF(S40="GOED",IF(N40&lt;10,"#"&amp;N40,N40)&amp;"|","FOUT")</f>
        <v>FOUT</v>
      </c>
      <c r="U40" s="318" t="str">
        <f ca="1">AE110</f>
        <v>onvoldoende gegevens voor suggestie</v>
      </c>
      <c r="V40" s="318"/>
      <c r="W40" s="318"/>
      <c r="X40" s="318"/>
      <c r="Y40" s="318"/>
      <c r="Z40" s="318"/>
      <c r="AA40" s="287"/>
      <c r="AB40" s="287"/>
      <c r="AC40" s="287"/>
      <c r="AD40" s="287"/>
      <c r="AE40" s="1369" t="s">
        <v>1105</v>
      </c>
      <c r="AF40" s="1369"/>
      <c r="AG40" s="1369" t="s">
        <v>1106</v>
      </c>
      <c r="AH40" s="1369"/>
      <c r="AI40" s="1369" t="s">
        <v>1107</v>
      </c>
      <c r="AJ40" s="1369"/>
      <c r="AK40" s="1369" t="s">
        <v>1108</v>
      </c>
      <c r="AL40" s="1369"/>
    </row>
    <row r="41" spans="2:38" ht="12" customHeight="1" x14ac:dyDescent="0.25">
      <c r="B41" s="17"/>
      <c r="C41" s="1049"/>
      <c r="D41" s="17"/>
      <c r="E41" s="17"/>
      <c r="F41" s="17"/>
      <c r="G41" s="17"/>
      <c r="H41" s="17"/>
      <c r="I41" s="17"/>
      <c r="J41" s="17"/>
      <c r="K41" s="17"/>
      <c r="L41" s="17"/>
      <c r="M41" s="17"/>
      <c r="N41" s="17"/>
      <c r="O41" s="17"/>
      <c r="P41" s="61"/>
      <c r="Q41" s="17"/>
      <c r="S41" s="32"/>
      <c r="T41" s="118"/>
      <c r="U41" s="1419" t="str">
        <f ca="1">IF($AH$110="opm1",$S$89,"")</f>
        <v/>
      </c>
      <c r="V41" s="1419"/>
      <c r="W41" s="1419"/>
      <c r="X41" s="1419"/>
      <c r="Y41" s="1419"/>
      <c r="Z41" s="1419"/>
      <c r="AA41" s="287"/>
      <c r="AB41" s="287"/>
      <c r="AC41" s="313" t="s">
        <v>337</v>
      </c>
      <c r="AD41" s="781">
        <f>LARGE(AF5:AF36,1)</f>
        <v>0</v>
      </c>
      <c r="AE41" s="1415" t="str">
        <f>IF($AD$41=AF5,AA5,"")&amp;IF($AD$41=AF6,AA6,"")&amp;IF($AD$41=AF7,AA7,"")&amp;IF($AD$41=AF8,AA8,"")&amp;IF($AD$41=AF9,AA9,"")&amp;IF($AD$41=AF10,AA10,"")&amp;IF($AD$41=AF11,AA11,"")&amp;IF($AD$41=AF12,AA12,"")&amp;IF($AD$41=AF13,AA13,"")&amp;IF($AD$41=AF14,AA14,"")&amp;IF($AD$41=AF15,AA15,"")&amp;IF($AD$41=AF16,AA16,"")&amp;IF($AD$41=AF17,AA17,"")&amp;IF($AD$41=AF18,AA18,"")&amp;IF($AD$41=AF19,AA19,"")&amp;IF($AD$41=AF20,AA20,"")&amp;IF($AD$41=AF21,AA21,"")&amp;IF($AD$41=AF22,AA22,"")&amp;IF($AD$41=AF23,AA23,"")&amp;IF($AD$41=AF24,AA24,"")&amp;IF($AD$41=AF25,AA25,"")&amp;IF($AD$41=AF26,AA26,"")&amp;IF($AD$41=AF27,AA27,"")&amp;IF($AD$41=AF28,AA28,"")&amp;IF($AD$41=AF29,AA29,"")&amp;IF($AD$41=AF30,AA30,"")&amp;IF($AD$41=AF31,AA31,"")&amp;IF($AD$41=AF32,AA32,"")&amp;IF($AD$41=AF33,AA33,"")&amp;IF($AD$41=AF34,AA34,"")&amp;IF($AD$41=AF35,AA35,"")&amp;IF($AD$41=AF36,AA36,"")</f>
        <v>A1A2A3A4B1B2B3B4C1C2C3C4D1D2D3D4E1E2E3E4F1F2F3F4G1G2G3G4H1H2H3H4</v>
      </c>
      <c r="AF41" s="1416"/>
      <c r="AG41" s="141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41)),$AA$122,""),""),IF(ISERROR(SEARCH($AA$123,AE41)),$AA$123,""),""),IF(ISERROR(SEARCH($AA$124,AE41)),$AA$124,""),""),IF(ISERROR(SEARCH($AA$125,AE41)),$AA$125,""),""),IF(ISERROR(SEARCH($AA$126,AE41)),$AA$126,""),""),IF(ISERROR(SEARCH($AA$127,AE41)),$AA$127,""),""),IF(ISERROR(SEARCH($AA$128,AE41)),$AA$128,""),""),IF(ISERROR(SEARCH($AA$129,AE41)),$AA$129,""),""),IF(ISERROR(SEARCH($AA$130,AE41)),$AA$130,""),""),IF(ISERROR(SEARCH($AA$131,AE41)),$AA$131,""),""),IF(ISERROR(SEARCH($AA$132,AE41)),$AA$132,""),""),IF(ISERROR(SEARCH($AA$133,AE41)),$AA$133,""),""),IF(ISERROR(SEARCH($AA$134,AE41)),$AA$134,""),""),IF(ISERROR(SEARCH($AA$135,AE41)),$AA$135,""),""),IF(ISERROR(SEARCH($AA$136,AE41)),$AA$136,""),""),IF(ISERROR(SEARCH($AA$137,AE41)),$AA$137,""),""),IF(ISERROR(SEARCH($AA$138,AE41)),$AA$138,""),""),IF(ISERROR(SEARCH($AA$139,AE41)),$AA$139,""),""),IF(ISERROR(SEARCH($AA$140,AE41)),$AA$140,""),""),IF(ISERROR(SEARCH($AA$141,AE41)),$AA$141,""),""),IF(ISERROR(SEARCH($AA$142,AE41)),$AA$142,""),""),IF(ISERROR(SEARCH($AA$143,AE41)),$AA$143,""),""),IF(ISERROR(SEARCH($AA$144,AE41)),$AA$144,""),""),IF(ISERROR(SEARCH($AA$145,AE41)),$AA$145,""),""),IF(ISERROR(SEARCH($AA$146,AE41)),$AA$146,""),""),IF(ISERROR(SEARCH($AA$147,AE41)),$AA$147,""),""),IF(ISERROR(SEARCH($AA$148,AE41)),$AA$148,""),""),IF(ISERROR(SEARCH($AA$149,AE41)),$AA$149,""),""),IF(ISERROR(SEARCH($AA$150,AE41)),$AA$150,""),""),IF(ISERROR(SEARCH($AA$151,AE41)),$AA$151,""),""),IF(ISERROR(SEARCH($AA$152,AE41)),$AA$152,""),""),IF(ISERROR(SEARCH($AA$153,AE41)),$AA$153,""),"")</f>
        <v>B4E1C2A1C4D4F2A3B3B2D2E4D3D1F3E3A2C3C1E2B1F4F1A4</v>
      </c>
      <c r="AH41" s="1416"/>
      <c r="AI41" s="1417" t="str">
        <f ca="1">AG41&amp;IF(AG41="","",$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41)),$AA$122,""),""),IF(ISNUMBER(SEARCH($AA$123,AE41)),$AA$123,""),""),IF(ISNUMBER(SEARCH($AA$124,AE41)),$AA$124,""),""),IF(ISNUMBER(SEARCH($AA$125,AE41)),$AA$125,""),""),IF(ISNUMBER(SEARCH($AA$126,AE41)),$AA$126,""),""),IF(ISNUMBER(SEARCH($AA$127,AE41)),$AA$127,""),""),IF(ISNUMBER(SEARCH($AA$128,AE41)),$AA$128,""),""),IF(ISNUMBER(SEARCH($AA$129,AE41)),$AA$129,""),""),IF(ISNUMBER(SEARCH($AA$130,AE41)),$AA$130,""),""),IF(ISNUMBER(SEARCH($AA$131,AE41)),$AA$131,""),""),IF(ISNUMBER(SEARCH($AA$132,AE41)),$AA$132,""),""),IF(ISNUMBER(SEARCH($AA$133,AE41)),$AA$133,""),""),IF(ISNUMBER(SEARCH($AA$134,AE41)),$AA$134,""),""),IF(ISNUMBER(SEARCH($AA$135,AE41)),$AA$135,""),""),IF(ISNUMBER(SEARCH($AA$136,AE41)),$AA$136,""),""),IF(ISNUMBER(SEARCH($AA$137,AE41)),$AA$137,""),""),IF(ISNUMBER(SEARCH($AA$138,AE41)),$AA$138,""),""),IF(ISNUMBER(SEARCH($AA$139,AE41)),$AA$139,""),""),IF(ISNUMBER(SEARCH($AA$140,AE41)),$AA$140,""),""),IF(ISNUMBER(SEARCH($AA$141,AE41)),$AA$141,""),""),IF(ISNUMBER(SEARCH($AA$142,AE41)),$AA$142,""),""),IF(ISNUMBER(SEARCH($AA$143,AE41)),$AA$143,""),""),IF(ISNUMBER(SEARCH($AA$144,AE41)),$AA$144,""),""),IF(ISNUMBER(SEARCH($AA$145,AE41)),$AA$145,""),""),IF(ISNUMBER(SEARCH($AA$146,AE41)),$AA$146,""),""),IF(ISNUMBER(SEARCH($AA$147,AE41)),$AA$147,""),""),IF(ISNUMBER(SEARCH($AA$148,AE41)),$AA$148,""),""),IF(ISNUMBER(SEARCH($AA$149,AE41)),$AA$149,""),""),IF(ISNUMBER(SEARCH($AA$150,AE41)),$AA$150,""),""),IF(ISNUMBER(SEARCH($AA$151,AE41)),$AA$151,""),""),IF(ISNUMBER(SEARCH($AA$152,AE41)),$AA$152,""),""),IF(ISNUMBER(SEARCH($AA$153,AE41)),$AA$153,""),"")&amp;REPT($AL$119,32)</f>
        <v>B4E1C2A1C4D4F2A3B3B2D2E4D3D1F3E3A2C3C1E2B1F4F1A4&amp;&amp;????????????????????????????????????????????????????????????????</v>
      </c>
      <c r="AJ41" s="1417"/>
      <c r="AK41" s="799" t="str">
        <f ca="1">IF(AG41="","",IF(LEN(AG41)&gt;=2,VLOOKUP(LEFT(AG41,2),Voorblad!$X$67:$Y$98,2)&amp;IF(LEN(AG41)&gt;=4," / "&amp;VLOOKUP(RIGHT(LEFT(AG41,4),2),Voorblad!$X$67:$Y$98,2)&amp;IF(LEN(AG41)&gt;=6," / "&amp;VLOOKUP(RIGHT(LEFT(AG41,6),2),Voorblad!$X$67:$Y$98,2)&amp;IF(LEN(AG41)&gt;=8," / "&amp;VLOOKUP(RIGHT(LEFT(AG41,8),2),Voorblad!$X$67:$Y$98,2)&amp;IF(LEN(AG41)&gt;=10," / "&amp;VLOOKUP(RIGHT(LEFT(AG41,10),2),Voorblad!$X$67:$Y$98,2)&amp;IF(LEN(AG41)&gt;=12," / "&amp;VLOOKUP(RIGHT(LEFT(AG41,12),2),Voorblad!$X$67:$Y$98,2)&amp;IF(LEN(AG41)&gt;=14," / "&amp;VLOOKUP(RIGHT(LEFT(AG41,14),2),Voorblad!$X$67:$Y$98,2)&amp;IF(LEN(AG41)&gt;=16," / "&amp;VLOOKUP(RIGHT(LEFT(AG41,16),2),Voorblad!$X$67:$Y$98,2)&amp;IF(LEN(AG41)&gt;=18," / "&amp;VLOOKUP(RIGHT(LEFT(AG41,18),2),Voorblad!$X$67:$Y$98,2)&amp;IF(LEN(AG41)&gt;=20," / "&amp;VLOOKUP(RIGHT(LEFT(AG41,20),2),Voorblad!$X$67:$Y$98,2)&amp;IF(LEN(AG41)&gt;=22," / "&amp;VLOOKUP(RIGHT(LEFT(AG41,22),2),Voorblad!$X$67:$Y$98,2)&amp;IF(LEN(AG41)&gt;=24," / "&amp;VLOOKUP(RIGHT(LEFT(AG41,24),2),Voorblad!$X$67:$Y$98,2)&amp;IF(LEN(AG41)&gt;=26," / "&amp;VLOOKUP(RIGHT(LEFT(AG41,26),2),Voorblad!$X$67:$Y$98,2)&amp;IF(LEN(AG41)&gt;=28," / "&amp;VLOOKUP(RIGHT(LEFT(AG41,28),2),Voorblad!$X$67:$Y$98,2)&amp;IF(LEN(AG41)&gt;=30," / "&amp;VLOOKUP(RIGHT(LEFT(AG41,30),2),Voorblad!$X$67:$Y$98,2)&amp;IF(LEN(AG41)&gt;=32," / "&amp;VLOOKUP(RIGHT(LEFT(AG41,32),2),Voorblad!$X$67:$Y$98,2)&amp;IF(LEN(AG41)&gt;=34," / "&amp;VLOOKUP(RIGHT(LEFT(AG41,34),2),Voorblad!$X$67:$Y$98,2)&amp;IF(LEN(AG41)&gt;=36," / "&amp;VLOOKUP(RIGHT(LEFT(AG41,36),2),Voorblad!$X$67:$Y$98,2)&amp;IF(LEN(AG41)&gt;=38," / "&amp;VLOOKUP(RIGHT(LEFT(AG41,38),2),Voorblad!$X$67:$Y$98,2)&amp;IF(LEN(AG41)&gt;=40," / "&amp;VLOOKUP(RIGHT(LEFT(AG41,40),2),Voorblad!$X$67:$Y$98,2)&amp;IF(LEN(AG41)&gt;=42," / "&amp;VLOOKUP(RIGHT(LEFT(AG41,42),2),Voorblad!$X$67:$Y$98,2)&amp;IF(LEN(AG41)&gt;=44," / "&amp;VLOOKUP(RIGHT(LEFT(AG41,44),2),Voorblad!$X$67:$Y$98,2)&amp;IF(LEN(AG41)&gt;=46," / "&amp;VLOOKUP(RIGHT(LEFT(AG41,46),2),Voorblad!$X$67:$Y$98,2)&amp;IF(LEN(AG41)&gt;=48," / "&amp;VLOOKUP(RIGHT(LEFT(AG41,48),2),Voorblad!$X$67:$Y$98,2)&amp;IF(LEN(AG41)&gt;=50," / "&amp;VLOOKUP(RIGHT(LEFT(AG41,50),2),Voorblad!$X$67:$Y$98,2)&amp;IF(LEN(AG41)&gt;=52," / "&amp;VLOOKUP(RIGHT(LEFT(AG41,52),2),Voorblad!$X$67:$Y$98,2)&amp;IF(LEN(AG41)&gt;=54," / "&amp;VLOOKUP(RIGHT(LEFT(AG41,54),2),Voorblad!$X$67:$Y$98,2)&amp;IF(LEN(AG41)&gt;=56," / "&amp;VLOOKUP(RIGHT(LEFT(AG41,56),2),Voorblad!$X$67:$Y$98,2)&amp;IF(LEN(AG41)&gt;=58," / "&amp;VLOOKUP(RIGHT(LEFT(AG41,58),2),Voorblad!$X$67:$Y$98,2)&amp;IF(LEN(AG41)&gt;=60," / "&amp;VLOOKUP(RIGHT(LEFT(AG41,60),2),Voorblad!$X$67:$Y$98,2)&amp;IF(LEN(AG41)&gt;=62," / "&amp;VLOOKUP(RIGHT(LEFT(AG41,62),2),Voorblad!$X$67:$Y$98,2)&amp;IF(LEN(AG41)&gt;=64," / "&amp;VLOOKUP(RIGHT(LEFT(AG41,64),2),Voorblad!$X$67:$Y$98,2),""),""),""),""),""),""),""),""),""),""),""),""),""),""),""),""),""),""),""),""),""),""),""),""),""),""),""),""),""),""),""),""))</f>
        <v>Albanië / België / Denemarken / Duitsland / Engeland / Frankrijk / Georgië / Hongarije / Italië / Kroatië / Nederland / Oekraïne / Oostenrijk / Polen / Portugal / Roemenië / Schotland / Servië / Slovenië / Slowakije / Spanje / Tsjechië / Turkije / Zwitserland</v>
      </c>
      <c r="AL41" s="799"/>
    </row>
    <row r="42" spans="2:38" ht="12" customHeight="1" x14ac:dyDescent="0.25">
      <c r="B42" s="17"/>
      <c r="C42" s="1049"/>
      <c r="D42" s="1382" t="str">
        <f ca="1">"¹: "&amp;IF($H$80=1,IF($H$85=1,Taal04!B94,Taal04!B95),Taal04!B93)</f>
        <v>¹: alleen de doelpunten gescoord gedurende de reguliere speeltijd inclusief blessuretijd worden meegeteld.</v>
      </c>
      <c r="E42" s="1382"/>
      <c r="F42" s="1382"/>
      <c r="G42" s="1382"/>
      <c r="H42" s="1382"/>
      <c r="I42" s="1382"/>
      <c r="J42" s="1382"/>
      <c r="K42" s="1382"/>
      <c r="L42" s="1382"/>
      <c r="M42" s="1382"/>
      <c r="N42" s="1382"/>
      <c r="O42" s="1382"/>
      <c r="P42" s="61"/>
      <c r="Q42" s="17"/>
      <c r="S42" s="32"/>
      <c r="T42" s="118"/>
      <c r="U42" s="1419"/>
      <c r="V42" s="1419"/>
      <c r="W42" s="1419"/>
      <c r="X42" s="1419"/>
      <c r="Y42" s="1419"/>
      <c r="Z42" s="1419"/>
      <c r="AA42" s="287"/>
      <c r="AB42" s="287"/>
      <c r="AC42" s="313" t="s">
        <v>338</v>
      </c>
      <c r="AD42" s="781">
        <f>LARGE(AI5:AI36,1)</f>
        <v>0</v>
      </c>
      <c r="AE42" s="1415" t="str">
        <f>IF($AD$42=AI5,AA5,"")&amp;IF($AD$42=AI6,AA6,"")&amp;IF($AD$42=AI7,AA7,"")&amp;IF($AD$42=AI8,AA8,"")&amp;IF($AD$42=AI9,AA9,"")&amp;IF($AD$42=AI10,AA10,"")&amp;IF($AD$42=AI11,AA11,"")&amp;IF($AD$42=AI12,AA12,"")&amp;IF($AD$42=AI13,AA13,"")&amp;IF($AD$42=AI14,AA14,"")&amp;IF($AD$42=AI15,AA15,"")&amp;IF($AD$42=AI16,AA16,"")&amp;IF($AD$42=AI17,AA17,"")&amp;IF($AD$42=AI18,AA18,"")&amp;IF($AD$42=AI19,AA19,"")&amp;IF($AD$42=AI20,AA20,"")&amp;IF($AD$42=AI21,AA21,"")&amp;IF($AD$42=AI22,AA22,"")&amp;IF($AD$42=AI23,AA23,"")&amp;IF($AD$42=AI24,AA24,"")&amp;IF($AD$42=AI25,AA25,"")&amp;IF($AD$42=AI26,AA26,"")&amp;IF($AD$42=AI27,AA27,"")&amp;IF($AD$42=AI28,AA28,"")&amp;IF($AD$42=AI29,AA29,"")&amp;IF($AD$42=AI30,AA30,"")&amp;IF($AD$42=AI31,AA31,"")&amp;IF($AD$42=AI32,AA32,"")&amp;IF($AD$42=AI33,AA33,"")&amp;IF($AD$42=AI34,AA34,"")&amp;IF($AD$42=AI35,AA35,"")&amp;IF($AD$42=AI36,AA36,"")</f>
        <v>A1A2A3A4B1B2B3B4C1C2C3C4D1D2D3D4E1E2E3E4F1F2F3F4G1G2G3G4H1H2H3H4</v>
      </c>
      <c r="AF42" s="1416"/>
      <c r="AG42" s="141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42)),$AA$122,""),""),IF(ISERROR(SEARCH($AA$123,AE42)),$AA$123,""),""),IF(ISERROR(SEARCH($AA$124,AE42)),$AA$124,""),""),IF(ISERROR(SEARCH($AA$125,AE42)),$AA$125,""),""),IF(ISERROR(SEARCH($AA$126,AE42)),$AA$126,""),""),IF(ISERROR(SEARCH($AA$127,AE42)),$AA$127,""),""),IF(ISERROR(SEARCH($AA$128,AE42)),$AA$128,""),""),IF(ISERROR(SEARCH($AA$129,AE42)),$AA$129,""),""),IF(ISERROR(SEARCH($AA$130,AE42)),$AA$130,""),""),IF(ISERROR(SEARCH($AA$131,AE42)),$AA$131,""),""),IF(ISERROR(SEARCH($AA$132,AE42)),$AA$132,""),""),IF(ISERROR(SEARCH($AA$133,AE42)),$AA$133,""),""),IF(ISERROR(SEARCH($AA$134,AE42)),$AA$134,""),""),IF(ISERROR(SEARCH($AA$135,AE42)),$AA$135,""),""),IF(ISERROR(SEARCH($AA$136,AE42)),$AA$136,""),""),IF(ISERROR(SEARCH($AA$137,AE42)),$AA$137,""),""),IF(ISERROR(SEARCH($AA$138,AE42)),$AA$138,""),""),IF(ISERROR(SEARCH($AA$139,AE42)),$AA$139,""),""),IF(ISERROR(SEARCH($AA$140,AE42)),$AA$140,""),""),IF(ISERROR(SEARCH($AA$141,AE42)),$AA$141,""),""),IF(ISERROR(SEARCH($AA$142,AE42)),$AA$142,""),""),IF(ISERROR(SEARCH($AA$143,AE42)),$AA$143,""),""),IF(ISERROR(SEARCH($AA$144,AE42)),$AA$144,""),""),IF(ISERROR(SEARCH($AA$145,AE42)),$AA$145,""),""),IF(ISERROR(SEARCH($AA$146,AE42)),$AA$146,""),""),IF(ISERROR(SEARCH($AA$147,AE42)),$AA$147,""),""),IF(ISERROR(SEARCH($AA$148,AE42)),$AA$148,""),""),IF(ISERROR(SEARCH($AA$149,AE42)),$AA$149,""),""),IF(ISERROR(SEARCH($AA$150,AE42)),$AA$150,""),""),IF(ISERROR(SEARCH($AA$151,AE42)),$AA$151,""),""),IF(ISERROR(SEARCH($AA$152,AE42)),$AA$152,""),""),IF(ISERROR(SEARCH($AA$153,AE42)),$AA$153,""),"")</f>
        <v>B4E1C2A1C4D4F2A3B3B2D2E4D3D1F3E3A2C3C1E2B1F4F1A4</v>
      </c>
      <c r="AH42" s="1416"/>
      <c r="AI42" s="1417" t="str">
        <f ca="1">AG42&amp;IF(AG42="","",$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42)),$AA$122,""),""),IF(ISNUMBER(SEARCH($AA$123,AE42)),$AA$123,""),""),IF(ISNUMBER(SEARCH($AA$124,AE42)),$AA$124,""),""),IF(ISNUMBER(SEARCH($AA$125,AE42)),$AA$125,""),""),IF(ISNUMBER(SEARCH($AA$126,AE42)),$AA$126,""),""),IF(ISNUMBER(SEARCH($AA$127,AE42)),$AA$127,""),""),IF(ISNUMBER(SEARCH($AA$128,AE42)),$AA$128,""),""),IF(ISNUMBER(SEARCH($AA$129,AE42)),$AA$129,""),""),IF(ISNUMBER(SEARCH($AA$130,AE42)),$AA$130,""),""),IF(ISNUMBER(SEARCH($AA$131,AE42)),$AA$131,""),""),IF(ISNUMBER(SEARCH($AA$132,AE42)),$AA$132,""),""),IF(ISNUMBER(SEARCH($AA$133,AE42)),$AA$133,""),""),IF(ISNUMBER(SEARCH($AA$134,AE42)),$AA$134,""),""),IF(ISNUMBER(SEARCH($AA$135,AE42)),$AA$135,""),""),IF(ISNUMBER(SEARCH($AA$136,AE42)),$AA$136,""),""),IF(ISNUMBER(SEARCH($AA$137,AE42)),$AA$137,""),""),IF(ISNUMBER(SEARCH($AA$138,AE42)),$AA$138,""),""),IF(ISNUMBER(SEARCH($AA$139,AE42)),$AA$139,""),""),IF(ISNUMBER(SEARCH($AA$140,AE42)),$AA$140,""),""),IF(ISNUMBER(SEARCH($AA$141,AE42)),$AA$141,""),""),IF(ISNUMBER(SEARCH($AA$142,AE42)),$AA$142,""),""),IF(ISNUMBER(SEARCH($AA$143,AE42)),$AA$143,""),""),IF(ISNUMBER(SEARCH($AA$144,AE42)),$AA$144,""),""),IF(ISNUMBER(SEARCH($AA$145,AE42)),$AA$145,""),""),IF(ISNUMBER(SEARCH($AA$146,AE42)),$AA$146,""),""),IF(ISNUMBER(SEARCH($AA$147,AE42)),$AA$147,""),""),IF(ISNUMBER(SEARCH($AA$148,AE42)),$AA$148,""),""),IF(ISNUMBER(SEARCH($AA$149,AE42)),$AA$149,""),""),IF(ISNUMBER(SEARCH($AA$150,AE42)),$AA$150,""),""),IF(ISNUMBER(SEARCH($AA$151,AE42)),$AA$151,""),""),IF(ISNUMBER(SEARCH($AA$152,AE42)),$AA$152,""),""),IF(ISNUMBER(SEARCH($AA$153,AE42)),$AA$153,""),"")&amp;REPT($AL$119,32)</f>
        <v>B4E1C2A1C4D4F2A3B3B2D2E4D3D1F3E3A2C3C1E2B1F4F1A4&amp;&amp;????????????????????????????????????????????????????????????????</v>
      </c>
      <c r="AJ42" s="1417"/>
      <c r="AK42" s="799" t="str">
        <f ca="1">IF(AG42="","",IF(LEN(AG42)&gt;=2,VLOOKUP(LEFT(AG42,2),Voorblad!$X$67:$Y$98,2)&amp;IF(LEN(AG42)&gt;=4," / "&amp;VLOOKUP(RIGHT(LEFT(AG42,4),2),Voorblad!$X$67:$Y$98,2)&amp;IF(LEN(AG42)&gt;=6," / "&amp;VLOOKUP(RIGHT(LEFT(AG42,6),2),Voorblad!$X$67:$Y$98,2)&amp;IF(LEN(AG42)&gt;=8," / "&amp;VLOOKUP(RIGHT(LEFT(AG42,8),2),Voorblad!$X$67:$Y$98,2)&amp;IF(LEN(AG42)&gt;=10," / "&amp;VLOOKUP(RIGHT(LEFT(AG42,10),2),Voorblad!$X$67:$Y$98,2)&amp;IF(LEN(AG42)&gt;=12," / "&amp;VLOOKUP(RIGHT(LEFT(AG42,12),2),Voorblad!$X$67:$Y$98,2)&amp;IF(LEN(AG42)&gt;=14," / "&amp;VLOOKUP(RIGHT(LEFT(AG42,14),2),Voorblad!$X$67:$Y$98,2)&amp;IF(LEN(AG42)&gt;=16," / "&amp;VLOOKUP(RIGHT(LEFT(AG42,16),2),Voorblad!$X$67:$Y$98,2)&amp;IF(LEN(AG42)&gt;=18," / "&amp;VLOOKUP(RIGHT(LEFT(AG42,18),2),Voorblad!$X$67:$Y$98,2)&amp;IF(LEN(AG42)&gt;=20," / "&amp;VLOOKUP(RIGHT(LEFT(AG42,20),2),Voorblad!$X$67:$Y$98,2)&amp;IF(LEN(AG42)&gt;=22," / "&amp;VLOOKUP(RIGHT(LEFT(AG42,22),2),Voorblad!$X$67:$Y$98,2)&amp;IF(LEN(AG42)&gt;=24," / "&amp;VLOOKUP(RIGHT(LEFT(AG42,24),2),Voorblad!$X$67:$Y$98,2)&amp;IF(LEN(AG42)&gt;=26," / "&amp;VLOOKUP(RIGHT(LEFT(AG42,26),2),Voorblad!$X$67:$Y$98,2)&amp;IF(LEN(AG42)&gt;=28," / "&amp;VLOOKUP(RIGHT(LEFT(AG42,28),2),Voorblad!$X$67:$Y$98,2)&amp;IF(LEN(AG42)&gt;=30," / "&amp;VLOOKUP(RIGHT(LEFT(AG42,30),2),Voorblad!$X$67:$Y$98,2)&amp;IF(LEN(AG42)&gt;=32," / "&amp;VLOOKUP(RIGHT(LEFT(AG42,32),2),Voorblad!$X$67:$Y$98,2)&amp;IF(LEN(AG42)&gt;=34," / "&amp;VLOOKUP(RIGHT(LEFT(AG42,34),2),Voorblad!$X$67:$Y$98,2)&amp;IF(LEN(AG42)&gt;=36," / "&amp;VLOOKUP(RIGHT(LEFT(AG42,36),2),Voorblad!$X$67:$Y$98,2)&amp;IF(LEN(AG42)&gt;=38," / "&amp;VLOOKUP(RIGHT(LEFT(AG42,38),2),Voorblad!$X$67:$Y$98,2)&amp;IF(LEN(AG42)&gt;=40," / "&amp;VLOOKUP(RIGHT(LEFT(AG42,40),2),Voorblad!$X$67:$Y$98,2)&amp;IF(LEN(AG42)&gt;=42," / "&amp;VLOOKUP(RIGHT(LEFT(AG42,42),2),Voorblad!$X$67:$Y$98,2)&amp;IF(LEN(AG42)&gt;=44," / "&amp;VLOOKUP(RIGHT(LEFT(AG42,44),2),Voorblad!$X$67:$Y$98,2)&amp;IF(LEN(AG42)&gt;=46," / "&amp;VLOOKUP(RIGHT(LEFT(AG42,46),2),Voorblad!$X$67:$Y$98,2)&amp;IF(LEN(AG42)&gt;=48," / "&amp;VLOOKUP(RIGHT(LEFT(AG42,48),2),Voorblad!$X$67:$Y$98,2)&amp;IF(LEN(AG42)&gt;=50," / "&amp;VLOOKUP(RIGHT(LEFT(AG42,50),2),Voorblad!$X$67:$Y$98,2)&amp;IF(LEN(AG42)&gt;=52," / "&amp;VLOOKUP(RIGHT(LEFT(AG42,52),2),Voorblad!$X$67:$Y$98,2)&amp;IF(LEN(AG42)&gt;=54," / "&amp;VLOOKUP(RIGHT(LEFT(AG42,54),2),Voorblad!$X$67:$Y$98,2)&amp;IF(LEN(AG42)&gt;=56," / "&amp;VLOOKUP(RIGHT(LEFT(AG42,56),2),Voorblad!$X$67:$Y$98,2)&amp;IF(LEN(AG42)&gt;=58," / "&amp;VLOOKUP(RIGHT(LEFT(AG42,58),2),Voorblad!$X$67:$Y$98,2)&amp;IF(LEN(AG42)&gt;=60," / "&amp;VLOOKUP(RIGHT(LEFT(AG42,60),2),Voorblad!$X$67:$Y$98,2)&amp;IF(LEN(AG42)&gt;=62," / "&amp;VLOOKUP(RIGHT(LEFT(AG42,62),2),Voorblad!$X$67:$Y$98,2)&amp;IF(LEN(AG42)&gt;=64," / "&amp;VLOOKUP(RIGHT(LEFT(AG42,64),2),Voorblad!$X$67:$Y$98,2),""),""),""),""),""),""),""),""),""),""),""),""),""),""),""),""),""),""),""),""),""),""),""),""),""),""),""),""),""),""),""),""))</f>
        <v>Albanië / België / Denemarken / Duitsland / Engeland / Frankrijk / Georgië / Hongarije / Italië / Kroatië / Nederland / Oekraïne / Oostenrijk / Polen / Portugal / Roemenië / Schotland / Servië / Slovenië / Slowakije / Spanje / Tsjechië / Turkije / Zwitserland</v>
      </c>
      <c r="AL42" s="800"/>
    </row>
    <row r="43" spans="2:38" ht="12" customHeight="1" x14ac:dyDescent="0.25">
      <c r="B43" s="17"/>
      <c r="C43" s="1049"/>
      <c r="D43" s="1382" t="str">
        <f ca="1">"²: "&amp;Taal04!B112</f>
        <v>²: twee gele kaarten voor één speler in een wedstrijd zal worden geteld als één rode kaart.</v>
      </c>
      <c r="E43" s="1382"/>
      <c r="F43" s="1382"/>
      <c r="G43" s="1382"/>
      <c r="H43" s="1382"/>
      <c r="I43" s="1382"/>
      <c r="J43" s="1382"/>
      <c r="K43" s="1382"/>
      <c r="L43" s="1382"/>
      <c r="M43" s="1382"/>
      <c r="N43" s="1382"/>
      <c r="O43" s="1382"/>
      <c r="P43" s="61"/>
      <c r="Q43" s="17"/>
      <c r="S43" s="32"/>
      <c r="T43" s="118"/>
      <c r="U43" s="318"/>
      <c r="V43" s="318"/>
      <c r="W43" s="318"/>
      <c r="X43" s="318"/>
      <c r="Y43" s="318"/>
      <c r="Z43" s="318"/>
      <c r="AA43" s="285"/>
      <c r="AB43" s="285"/>
      <c r="AC43" s="285"/>
      <c r="AD43" s="285"/>
      <c r="AE43" s="285"/>
      <c r="AF43" s="285"/>
      <c r="AG43" s="285"/>
      <c r="AH43" s="285"/>
      <c r="AI43" s="285"/>
      <c r="AJ43" s="285"/>
      <c r="AK43" s="285"/>
      <c r="AL43" s="285"/>
    </row>
    <row r="44" spans="2:38" ht="21" customHeight="1" x14ac:dyDescent="0.25">
      <c r="B44" s="17"/>
      <c r="C44" s="1050"/>
      <c r="D44" s="1418" t="str">
        <f ca="1">"³: "&amp;IF($I$83=1,IF($I$89=1,Taal04!B113,Taal04!B114),Taal04!B93)</f>
        <v>³: afhankelijk van het reglement worden de doelpunten gescoord tijdens de verlenging wel of niet meegeteld.</v>
      </c>
      <c r="E44" s="1418"/>
      <c r="F44" s="1418"/>
      <c r="G44" s="1418"/>
      <c r="H44" s="1418"/>
      <c r="I44" s="1418"/>
      <c r="J44" s="1418"/>
      <c r="K44" s="1418"/>
      <c r="L44" s="1418"/>
      <c r="M44" s="1418"/>
      <c r="N44" s="1418"/>
      <c r="O44" s="1418"/>
      <c r="P44" s="1052"/>
      <c r="Q44" s="17"/>
      <c r="S44" s="32"/>
      <c r="T44" s="118"/>
      <c r="U44" s="318"/>
      <c r="V44" s="318"/>
      <c r="W44" s="318"/>
      <c r="X44" s="318"/>
      <c r="Y44" s="318"/>
      <c r="Z44" s="318"/>
      <c r="AA44" s="287"/>
      <c r="AB44" s="287"/>
      <c r="AC44" s="313" t="s">
        <v>339</v>
      </c>
      <c r="AD44" s="781">
        <f>AF37</f>
        <v>0</v>
      </c>
      <c r="AE44" s="288"/>
      <c r="AF44" s="288"/>
      <c r="AG44" s="285"/>
      <c r="AH44" s="285"/>
      <c r="AI44" s="285"/>
      <c r="AJ44" s="285"/>
      <c r="AK44" s="285"/>
      <c r="AL44" s="285"/>
    </row>
    <row r="45" spans="2:38" x14ac:dyDescent="0.25">
      <c r="B45" s="17"/>
      <c r="C45" s="12"/>
      <c r="D45" s="12"/>
      <c r="E45" s="12"/>
      <c r="F45" s="12"/>
      <c r="G45" s="12"/>
      <c r="H45" s="12"/>
      <c r="I45" s="12"/>
      <c r="J45" s="12"/>
      <c r="K45" s="12"/>
      <c r="L45" s="12"/>
      <c r="M45" s="12"/>
      <c r="N45" s="12"/>
      <c r="O45" s="12"/>
      <c r="P45" s="12"/>
      <c r="Q45" s="17"/>
      <c r="T45" s="49"/>
      <c r="U45" s="49"/>
      <c r="V45" s="318"/>
      <c r="W45" s="318"/>
      <c r="X45" s="318"/>
      <c r="Y45" s="318"/>
      <c r="Z45" s="318"/>
      <c r="AA45" s="287"/>
      <c r="AB45" s="287"/>
      <c r="AC45" s="313"/>
      <c r="AD45" s="313"/>
      <c r="AE45" s="288"/>
      <c r="AF45" s="288"/>
      <c r="AG45" s="285"/>
      <c r="AH45" s="285"/>
      <c r="AI45" s="285"/>
      <c r="AJ45" s="285"/>
      <c r="AK45" s="285"/>
      <c r="AL45" s="285"/>
    </row>
    <row r="46" spans="2:38" x14ac:dyDescent="0.25">
      <c r="B46" s="17"/>
      <c r="C46" s="1075"/>
      <c r="D46" s="1090" t="str">
        <f ca="1">Taal04!B124</f>
        <v>De Stellingen</v>
      </c>
      <c r="E46" s="1090"/>
      <c r="F46" s="1090"/>
      <c r="G46" s="1090"/>
      <c r="H46" s="1090"/>
      <c r="I46" s="1090"/>
      <c r="J46" s="1090"/>
      <c r="K46" s="1090"/>
      <c r="L46" s="1090"/>
      <c r="M46" s="1090"/>
      <c r="N46" s="1090"/>
      <c r="O46" s="1090"/>
      <c r="P46" s="1079"/>
      <c r="Q46" s="17"/>
      <c r="S46" s="32"/>
      <c r="T46" s="118"/>
      <c r="U46" s="318"/>
      <c r="V46" s="318"/>
      <c r="W46" s="318"/>
      <c r="X46" s="318"/>
      <c r="Y46" s="318"/>
      <c r="Z46" s="318"/>
      <c r="AA46" s="285"/>
      <c r="AB46" s="285"/>
      <c r="AC46" s="312" t="s">
        <v>331</v>
      </c>
      <c r="AD46" s="787">
        <f>SUM(AE46:AF46)</f>
        <v>0</v>
      </c>
      <c r="AE46" s="291">
        <f>IF(N88="G1e",#REF!,IF(N88="G2e",Groepswedstrijden!AD19,0))</f>
        <v>0</v>
      </c>
      <c r="AF46" s="291">
        <f>IF(N90="F1e",#REF!,IF(N90="F2e",Finalewedstrijden!AR143,0))</f>
        <v>0</v>
      </c>
      <c r="AG46" s="285"/>
      <c r="AH46" s="285"/>
      <c r="AI46" s="285"/>
      <c r="AJ46" s="285"/>
      <c r="AK46" s="285"/>
      <c r="AL46" s="285"/>
    </row>
    <row r="47" spans="2:38" x14ac:dyDescent="0.25">
      <c r="B47" s="17"/>
      <c r="C47" s="1049"/>
      <c r="D47" s="17"/>
      <c r="E47" s="17"/>
      <c r="F47" s="17"/>
      <c r="G47" s="17"/>
      <c r="H47" s="17"/>
      <c r="I47" s="17"/>
      <c r="J47" s="17"/>
      <c r="K47" s="17"/>
      <c r="L47" s="17"/>
      <c r="M47" s="17"/>
      <c r="N47" s="17"/>
      <c r="O47" s="17"/>
      <c r="P47" s="61"/>
      <c r="Q47" s="17"/>
      <c r="S47" s="32"/>
      <c r="T47" s="118"/>
      <c r="U47" s="318"/>
      <c r="V47" s="318"/>
      <c r="W47" s="318"/>
      <c r="X47" s="318"/>
      <c r="Y47" s="318"/>
      <c r="Z47" s="318"/>
      <c r="AA47" s="285"/>
      <c r="AB47" s="285"/>
      <c r="AC47" s="312" t="s">
        <v>332</v>
      </c>
      <c r="AD47" s="787">
        <f>SUM(AE47:AF47)</f>
        <v>0</v>
      </c>
      <c r="AE47" s="291">
        <f>IF(N88="G1e",#REF!,IF(N88="G2e",Groepswedstrijden!AD20,0))</f>
        <v>0</v>
      </c>
      <c r="AF47" s="291">
        <f>IF(N90="F1e",#REF!,IF(N90="F2e",Finalewedstrijden!AR144,0))</f>
        <v>0</v>
      </c>
      <c r="AG47" s="285"/>
      <c r="AH47" s="285"/>
      <c r="AI47" s="285"/>
      <c r="AJ47" s="285"/>
      <c r="AK47" s="285"/>
      <c r="AL47" s="285"/>
    </row>
    <row r="48" spans="2:38" x14ac:dyDescent="0.25">
      <c r="B48" s="17"/>
      <c r="C48" s="1049"/>
      <c r="D48" s="1378" t="str">
        <f ca="1">IF(OR(H80=0,H84="x"),Voorblad!L81,IF(TYPE(H84)=1,SUBSTITUTE(IF(H84=1,Taal04!B125,Taal04!B126),"##",H84),Voorblad!L81))</f>
        <v>Voor elk goed beantwoorde stelling ontvangt u 2 punten.</v>
      </c>
      <c r="E48" s="1378"/>
      <c r="F48" s="1378"/>
      <c r="G48" s="1378"/>
      <c r="H48" s="1378"/>
      <c r="I48" s="1378"/>
      <c r="J48" s="1378"/>
      <c r="K48" s="1378"/>
      <c r="L48" s="1378"/>
      <c r="M48" s="1378"/>
      <c r="N48" s="1378"/>
      <c r="O48" s="1378"/>
      <c r="P48" s="1379"/>
      <c r="Q48" s="17"/>
      <c r="S48" s="32"/>
      <c r="T48" s="118"/>
      <c r="U48" s="318"/>
      <c r="V48" s="318"/>
      <c r="W48" s="318"/>
      <c r="X48" s="318"/>
      <c r="Y48" s="318"/>
      <c r="Z48" s="318"/>
      <c r="AA48" s="285"/>
      <c r="AB48" s="285"/>
      <c r="AC48" s="285"/>
      <c r="AD48" s="285"/>
      <c r="AE48" s="285"/>
      <c r="AF48" s="285"/>
      <c r="AG48" s="285"/>
      <c r="AH48" s="285"/>
      <c r="AI48" s="285"/>
      <c r="AJ48" s="285"/>
      <c r="AK48" s="285"/>
      <c r="AL48" s="285"/>
    </row>
    <row r="49" spans="2:38" ht="12" customHeight="1" x14ac:dyDescent="0.25">
      <c r="B49" s="17"/>
      <c r="C49" s="1049"/>
      <c r="D49" s="17"/>
      <c r="E49" s="17"/>
      <c r="F49" s="17"/>
      <c r="G49" s="17"/>
      <c r="H49" s="17"/>
      <c r="I49" s="17"/>
      <c r="J49" s="17"/>
      <c r="K49" s="17"/>
      <c r="L49" s="17"/>
      <c r="M49" s="17"/>
      <c r="N49" s="17"/>
      <c r="O49" s="17"/>
      <c r="P49" s="61"/>
      <c r="Q49" s="17"/>
      <c r="S49" s="32"/>
      <c r="T49" s="118"/>
      <c r="U49" s="318"/>
      <c r="V49" s="318"/>
      <c r="W49" s="318"/>
      <c r="X49" s="318"/>
      <c r="Y49" s="318"/>
      <c r="Z49" s="318"/>
    </row>
    <row r="50" spans="2:38" ht="8.4499999999999993" customHeight="1" x14ac:dyDescent="0.25">
      <c r="B50" s="17"/>
      <c r="C50" s="1049"/>
      <c r="D50" s="1383" t="s">
        <v>65</v>
      </c>
      <c r="E50" s="1386" t="str">
        <f ca="1">IF($H$80=1,VLOOKUP($Y$80,$V$85:$Y$99,2),REPT("...",125))</f>
        <v>Van de vier landen die als beste nr. 3 doorgaan naar de achtste finales weet er minimaal één ook de kwartfinales te bereiken.</v>
      </c>
      <c r="F50" s="1386"/>
      <c r="G50" s="1386"/>
      <c r="H50" s="1386"/>
      <c r="I50" s="1386"/>
      <c r="J50" s="1386"/>
      <c r="K50" s="1386"/>
      <c r="L50" s="1386"/>
      <c r="M50" s="17"/>
      <c r="N50" s="784"/>
      <c r="O50" s="17"/>
      <c r="P50" s="61"/>
      <c r="Q50" s="17"/>
      <c r="R50" s="44"/>
      <c r="S50" s="807">
        <f>S51</f>
        <v>0</v>
      </c>
      <c r="T50" s="118"/>
      <c r="U50" s="318"/>
      <c r="V50" s="318"/>
      <c r="W50" s="318"/>
      <c r="X50" s="318"/>
      <c r="Y50" s="318"/>
      <c r="Z50" s="318"/>
      <c r="AA50" s="318"/>
      <c r="AB50" s="318"/>
      <c r="AC50" s="318"/>
      <c r="AD50" s="318"/>
      <c r="AE50" s="318"/>
      <c r="AF50" s="318"/>
      <c r="AG50" s="318"/>
      <c r="AH50" s="318"/>
      <c r="AI50" s="318"/>
      <c r="AJ50" s="318"/>
      <c r="AK50" s="318"/>
      <c r="AL50" s="318"/>
    </row>
    <row r="51" spans="2:38" ht="15" customHeight="1" x14ac:dyDescent="0.25">
      <c r="B51" s="17"/>
      <c r="C51" s="1049"/>
      <c r="D51" s="1383"/>
      <c r="E51" s="1386"/>
      <c r="F51" s="1386"/>
      <c r="G51" s="1386"/>
      <c r="H51" s="1386"/>
      <c r="I51" s="1386"/>
      <c r="J51" s="1386"/>
      <c r="K51" s="1386"/>
      <c r="L51" s="1386"/>
      <c r="M51" s="17"/>
      <c r="N51" s="902"/>
      <c r="O51" s="765" t="str">
        <f>IF(S53="LEEG","▼        ","")</f>
        <v xml:space="preserve">▼        </v>
      </c>
      <c r="P51" s="1064"/>
      <c r="Q51" s="39"/>
      <c r="R51" s="804"/>
      <c r="S51" s="276">
        <f>IF(ISBLANK(N51),0,IF($T$71&lt;&gt;SUBSTITUTE($T$71,"|"&amp;N51&amp;"|","##"),1,IF($T$72&lt;&gt;SUBSTITUTE($T$72,"|"&amp;N51&amp;"|","##"),2,"X")))</f>
        <v>0</v>
      </c>
      <c r="T51" s="801" t="str">
        <f>IF(S53="GOED",S51&amp;"|","FOUT")</f>
        <v>FOUT</v>
      </c>
      <c r="U51" s="855" t="str">
        <f ca="1">AE114</f>
        <v>onvoldoende gegevens voor suggestie</v>
      </c>
      <c r="V51" s="318"/>
      <c r="W51" s="318"/>
      <c r="X51" s="318"/>
      <c r="Y51" s="318"/>
      <c r="Z51" s="318"/>
      <c r="AA51" s="842" t="s">
        <v>1156</v>
      </c>
      <c r="AB51" s="285"/>
      <c r="AC51" s="285"/>
      <c r="AD51" s="285"/>
      <c r="AE51" s="285"/>
      <c r="AF51" s="285"/>
      <c r="AG51" s="285"/>
      <c r="AH51" s="285"/>
      <c r="AI51" s="285"/>
      <c r="AJ51" s="285"/>
      <c r="AK51" s="285"/>
      <c r="AL51" s="285"/>
    </row>
    <row r="52" spans="2:38" ht="8.4499999999999993" customHeight="1" x14ac:dyDescent="0.25">
      <c r="B52" s="17"/>
      <c r="C52" s="1049"/>
      <c r="D52" s="1383"/>
      <c r="E52" s="1386"/>
      <c r="F52" s="1386"/>
      <c r="G52" s="1386"/>
      <c r="H52" s="1386"/>
      <c r="I52" s="1386"/>
      <c r="J52" s="1386"/>
      <c r="K52" s="1386"/>
      <c r="L52" s="1386"/>
      <c r="M52" s="17"/>
      <c r="N52" s="784"/>
      <c r="O52" s="17"/>
      <c r="P52" s="61"/>
      <c r="Q52" s="17"/>
      <c r="S52" s="807">
        <f>S51</f>
        <v>0</v>
      </c>
      <c r="T52" s="118"/>
      <c r="U52" s="1420" t="str">
        <f ca="1">IF($AH$114="","",LEFT($AH$114,4))</f>
        <v/>
      </c>
      <c r="V52" s="1421" t="str">
        <f ca="1">IF($AH$114="","",RIGHT($AH$114,LEN($AH$114)-4))</f>
        <v/>
      </c>
      <c r="W52" s="1421"/>
      <c r="X52" s="1421"/>
      <c r="Y52" s="1421"/>
      <c r="Z52" s="1421"/>
      <c r="AA52" s="285"/>
      <c r="AB52" s="285"/>
      <c r="AC52" s="285"/>
      <c r="AD52" s="285"/>
      <c r="AE52" s="285"/>
      <c r="AF52" s="285"/>
      <c r="AG52" s="285"/>
      <c r="AH52" s="285"/>
      <c r="AI52" s="285"/>
      <c r="AJ52" s="285"/>
      <c r="AK52" s="285"/>
      <c r="AL52" s="285"/>
    </row>
    <row r="53" spans="2:38" x14ac:dyDescent="0.25">
      <c r="B53" s="17"/>
      <c r="C53" s="1049"/>
      <c r="D53" s="418"/>
      <c r="E53" s="1036"/>
      <c r="F53" s="1036"/>
      <c r="G53" s="1036"/>
      <c r="H53" s="1036"/>
      <c r="I53" s="1036"/>
      <c r="J53" s="1036"/>
      <c r="K53" s="1036"/>
      <c r="L53" s="445"/>
      <c r="M53" s="17"/>
      <c r="N53" s="17"/>
      <c r="O53" s="17"/>
      <c r="P53" s="61"/>
      <c r="Q53" s="17"/>
      <c r="S53" s="276" t="str">
        <f>IF(S51=0,"LEEG",IF(S51=1,"GOED",IF(S51=2,"GOED","FOUT")))</f>
        <v>LEEG</v>
      </c>
      <c r="T53" s="118"/>
      <c r="U53" s="1420"/>
      <c r="V53" s="1421"/>
      <c r="W53" s="1421"/>
      <c r="X53" s="1421"/>
      <c r="Y53" s="1421"/>
      <c r="Z53" s="1421"/>
      <c r="AA53" s="843" t="s">
        <v>2549</v>
      </c>
      <c r="AB53" s="844" t="s">
        <v>1155</v>
      </c>
      <c r="AC53" s="285"/>
      <c r="AD53" s="285"/>
      <c r="AE53" s="285"/>
      <c r="AF53" s="285"/>
      <c r="AG53" s="285"/>
      <c r="AH53" s="285"/>
      <c r="AI53" s="1412" t="s">
        <v>1157</v>
      </c>
      <c r="AJ53" s="1412"/>
      <c r="AK53" s="1412"/>
      <c r="AL53" s="285"/>
    </row>
    <row r="54" spans="2:38" ht="8.4499999999999993" customHeight="1" x14ac:dyDescent="0.25">
      <c r="B54" s="17"/>
      <c r="C54" s="1049"/>
      <c r="D54" s="1383" t="s">
        <v>97</v>
      </c>
      <c r="E54" s="1386" t="str">
        <f ca="1">IF($H$80=1,VLOOKUP($Y$81,$V$85:$Y$99,2),REPT("...",125))</f>
        <v>Van de zes groepswinnaars weten er minimaal vijf de achtste finales te overleven en zo ook de kwartfinales te bereiken.</v>
      </c>
      <c r="F54" s="1386"/>
      <c r="G54" s="1386"/>
      <c r="H54" s="1386"/>
      <c r="I54" s="1386"/>
      <c r="J54" s="1386"/>
      <c r="K54" s="1386"/>
      <c r="L54" s="1386"/>
      <c r="M54" s="17"/>
      <c r="N54" s="784"/>
      <c r="O54" s="17"/>
      <c r="P54" s="61"/>
      <c r="Q54" s="17"/>
      <c r="R54" s="44"/>
      <c r="S54" s="807">
        <f>S55</f>
        <v>0</v>
      </c>
      <c r="T54" s="118"/>
      <c r="U54" s="1420"/>
      <c r="V54" s="1421"/>
      <c r="W54" s="1421"/>
      <c r="X54" s="1421"/>
      <c r="Y54" s="1421"/>
      <c r="Z54" s="1421"/>
      <c r="AA54" s="285"/>
      <c r="AB54" s="285"/>
      <c r="AC54" s="285"/>
      <c r="AD54" s="285"/>
      <c r="AE54" s="285"/>
      <c r="AF54" s="285"/>
      <c r="AG54" s="285"/>
      <c r="AH54" s="285"/>
      <c r="AI54" s="285"/>
      <c r="AJ54" s="285"/>
      <c r="AK54" s="285"/>
      <c r="AL54" s="285"/>
    </row>
    <row r="55" spans="2:38" ht="15" customHeight="1" x14ac:dyDescent="0.25">
      <c r="B55" s="17"/>
      <c r="C55" s="1049"/>
      <c r="D55" s="1383"/>
      <c r="E55" s="1386"/>
      <c r="F55" s="1386"/>
      <c r="G55" s="1386"/>
      <c r="H55" s="1386"/>
      <c r="I55" s="1386"/>
      <c r="J55" s="1386"/>
      <c r="K55" s="1386"/>
      <c r="L55" s="1386"/>
      <c r="M55" s="17"/>
      <c r="N55" s="902"/>
      <c r="O55" s="765" t="str">
        <f>IF(S57="LEEG","▼        ","")</f>
        <v xml:space="preserve">▼        </v>
      </c>
      <c r="P55" s="1064"/>
      <c r="Q55" s="39"/>
      <c r="R55" s="804"/>
      <c r="S55" s="276">
        <f>IF(ISBLANK(N55),0,IF($T$71&lt;&gt;SUBSTITUTE($T$71,"|"&amp;N55&amp;"|","##"),1,IF($T$72&lt;&gt;SUBSTITUTE($T$72,"|"&amp;N55&amp;"|","##"),2,"X")))</f>
        <v>0</v>
      </c>
      <c r="T55" s="801" t="str">
        <f>IF(S57="GOED",S55&amp;"|","FOUT")</f>
        <v>FOUT</v>
      </c>
      <c r="U55" s="855" t="str">
        <f ca="1">AE115</f>
        <v>onvoldoende gegevens voor suggestie</v>
      </c>
      <c r="V55" s="318"/>
      <c r="W55" s="318"/>
      <c r="X55" s="318"/>
      <c r="Y55" s="417"/>
      <c r="Z55" s="318"/>
      <c r="AA55" s="285"/>
      <c r="AB55" s="285"/>
      <c r="AC55" s="845" t="s">
        <v>1158</v>
      </c>
      <c r="AD55" s="287" t="s">
        <v>67</v>
      </c>
      <c r="AE55" s="290" t="str">
        <f>IF(H88="NEE","geen suggestie mogelijk","JA")</f>
        <v>geen suggestie mogelijk</v>
      </c>
      <c r="AF55" s="285"/>
      <c r="AG55" s="285"/>
      <c r="AH55" s="934" t="s">
        <v>412</v>
      </c>
      <c r="AI55" s="1365" t="str">
        <f>IF($AE$55="JA",IF($O$88="GOED","JA","onvoldoende gegevens"),"geen suggestie mogelijk")</f>
        <v>geen suggestie mogelijk</v>
      </c>
      <c r="AJ55" s="1366"/>
      <c r="AK55" s="1366"/>
      <c r="AL55" s="285"/>
    </row>
    <row r="56" spans="2:38" ht="8.4499999999999993" customHeight="1" x14ac:dyDescent="0.25">
      <c r="B56" s="17"/>
      <c r="C56" s="1049"/>
      <c r="D56" s="1383"/>
      <c r="E56" s="1386"/>
      <c r="F56" s="1386"/>
      <c r="G56" s="1386"/>
      <c r="H56" s="1386"/>
      <c r="I56" s="1386"/>
      <c r="J56" s="1386"/>
      <c r="K56" s="1386"/>
      <c r="L56" s="1386"/>
      <c r="M56" s="17"/>
      <c r="N56" s="784"/>
      <c r="O56" s="17"/>
      <c r="P56" s="61"/>
      <c r="Q56" s="17"/>
      <c r="S56" s="807">
        <f>S55</f>
        <v>0</v>
      </c>
      <c r="T56" s="118"/>
      <c r="U56" s="1420" t="str">
        <f ca="1">IF($AH$115="","",LEFT($AH$115,4))</f>
        <v/>
      </c>
      <c r="V56" s="1421" t="str">
        <f ca="1">IF($AH$115="","",RIGHT($AH$115,LEN($AH$115)-4))</f>
        <v/>
      </c>
      <c r="W56" s="1421"/>
      <c r="X56" s="1421"/>
      <c r="Y56" s="1421"/>
      <c r="Z56" s="1421"/>
      <c r="AA56" s="285"/>
      <c r="AB56" s="285"/>
      <c r="AC56" s="285"/>
      <c r="AD56" s="285"/>
      <c r="AE56" s="285"/>
      <c r="AF56" s="285"/>
      <c r="AG56" s="285"/>
      <c r="AH56" s="285"/>
      <c r="AI56" s="285"/>
      <c r="AJ56" s="285"/>
      <c r="AK56" s="285"/>
      <c r="AL56" s="285"/>
    </row>
    <row r="57" spans="2:38" x14ac:dyDescent="0.25">
      <c r="B57" s="17"/>
      <c r="C57" s="1049"/>
      <c r="D57" s="419"/>
      <c r="E57" s="788"/>
      <c r="F57" s="788"/>
      <c r="G57" s="788"/>
      <c r="H57" s="788"/>
      <c r="I57" s="788"/>
      <c r="J57" s="788"/>
      <c r="K57" s="788"/>
      <c r="L57" s="445"/>
      <c r="M57" s="17"/>
      <c r="N57" s="780"/>
      <c r="O57" s="17"/>
      <c r="P57" s="61"/>
      <c r="Q57" s="17"/>
      <c r="S57" s="276" t="str">
        <f>IF(S55=0,"LEEG",IF(S55=1,"GOED",IF(S55=2,"GOED","FOUT")))</f>
        <v>LEEG</v>
      </c>
      <c r="T57" s="118"/>
      <c r="U57" s="1420"/>
      <c r="V57" s="1421"/>
      <c r="W57" s="1421"/>
      <c r="X57" s="1421"/>
      <c r="Y57" s="1421"/>
      <c r="Z57" s="1421"/>
      <c r="AA57" s="285"/>
      <c r="AB57" s="285"/>
      <c r="AC57" s="845" t="s">
        <v>1159</v>
      </c>
      <c r="AD57" s="287" t="s">
        <v>67</v>
      </c>
      <c r="AE57" s="290" t="str">
        <f>IF(AE55="JA",IF(H91="NEE","deels suggestie mogelijk","JA"),"geen suggestie mogelijk")</f>
        <v>geen suggestie mogelijk</v>
      </c>
      <c r="AF57" s="285"/>
      <c r="AG57" s="285"/>
      <c r="AH57" s="934" t="s">
        <v>412</v>
      </c>
      <c r="AI57" s="1365" t="str">
        <f>IF($AE$57="JA",IF($O$90="GOED","JA","onvoldoende gegevens"),"geen suggestie mogelijk")</f>
        <v>geen suggestie mogelijk</v>
      </c>
      <c r="AJ57" s="1366"/>
      <c r="AK57" s="1366"/>
      <c r="AL57" s="285"/>
    </row>
    <row r="58" spans="2:38" ht="8.4499999999999993" customHeight="1" x14ac:dyDescent="0.25">
      <c r="B58" s="17"/>
      <c r="C58" s="1049"/>
      <c r="D58" s="1383" t="s">
        <v>96</v>
      </c>
      <c r="E58" s="1386" t="str">
        <f ca="1">IF($H$80=1,VLOOKUP($Y$82,$V$85:$Y$99,2),REPT("...",125))</f>
        <v>Tijdens het toernooi weet een speler in één wedstrijd drie keer of meer te scoren, oftewel een hattrick. Benutte penalty's tijdens een strafschoppenserie tellen niet mee.</v>
      </c>
      <c r="F58" s="1386"/>
      <c r="G58" s="1386"/>
      <c r="H58" s="1386"/>
      <c r="I58" s="1386"/>
      <c r="J58" s="1386"/>
      <c r="K58" s="1386"/>
      <c r="L58" s="1386"/>
      <c r="M58" s="17"/>
      <c r="N58" s="784"/>
      <c r="O58" s="17"/>
      <c r="P58" s="61"/>
      <c r="Q58" s="17"/>
      <c r="R58" s="44"/>
      <c r="S58" s="807">
        <f>S59</f>
        <v>0</v>
      </c>
      <c r="T58" s="118"/>
      <c r="U58" s="1420"/>
      <c r="V58" s="1421"/>
      <c r="W58" s="1421"/>
      <c r="X58" s="1421"/>
      <c r="Y58" s="1421"/>
      <c r="Z58" s="1421"/>
      <c r="AA58" s="285"/>
      <c r="AB58" s="285"/>
      <c r="AC58" s="285"/>
      <c r="AD58" s="285"/>
      <c r="AE58" s="285"/>
      <c r="AF58" s="285"/>
      <c r="AG58" s="285"/>
      <c r="AH58" s="285"/>
      <c r="AI58" s="285"/>
      <c r="AJ58" s="285"/>
      <c r="AK58" s="285"/>
      <c r="AL58" s="285"/>
    </row>
    <row r="59" spans="2:38" ht="15" customHeight="1" x14ac:dyDescent="0.25">
      <c r="B59" s="17"/>
      <c r="C59" s="1049"/>
      <c r="D59" s="1383"/>
      <c r="E59" s="1386"/>
      <c r="F59" s="1386"/>
      <c r="G59" s="1386"/>
      <c r="H59" s="1386"/>
      <c r="I59" s="1386"/>
      <c r="J59" s="1386"/>
      <c r="K59" s="1386"/>
      <c r="L59" s="1386"/>
      <c r="M59" s="17"/>
      <c r="N59" s="902"/>
      <c r="O59" s="765" t="str">
        <f>IF(S61="LEEG","▼        ","")</f>
        <v xml:space="preserve">▼        </v>
      </c>
      <c r="P59" s="1064"/>
      <c r="Q59" s="39"/>
      <c r="R59" s="804"/>
      <c r="S59" s="276">
        <f>IF(ISBLANK(N59),0,IF($T$71&lt;&gt;SUBSTITUTE($T$71,"|"&amp;N59&amp;"|","##"),1,IF($T$72&lt;&gt;SUBSTITUTE($T$72,"|"&amp;N59&amp;"|","##"),2,"X")))</f>
        <v>0</v>
      </c>
      <c r="T59" s="801" t="str">
        <f>IF(S61="GOED",S59&amp;"|","FOUT")</f>
        <v>FOUT</v>
      </c>
      <c r="U59" s="855" t="str">
        <f ca="1">AE116</f>
        <v>geen suggestie mogelijk</v>
      </c>
      <c r="V59" s="318"/>
      <c r="W59" s="318"/>
      <c r="X59" s="318"/>
      <c r="Y59" s="318"/>
      <c r="Z59" s="318"/>
      <c r="AA59" s="285"/>
      <c r="AB59" s="285"/>
      <c r="AC59" s="845" t="s">
        <v>1157</v>
      </c>
      <c r="AD59" s="287" t="s">
        <v>67</v>
      </c>
      <c r="AE59" s="290" t="str">
        <f ca="1">IF(AND(O88="GOED",OR(H91="NEE",O90="GOED")),"JA","onvoldoende gegevens")</f>
        <v>onvoldoende gegevens</v>
      </c>
      <c r="AF59" s="285"/>
      <c r="AG59" s="285"/>
      <c r="AH59" s="285"/>
      <c r="AI59" s="285"/>
      <c r="AJ59" s="285"/>
      <c r="AK59" s="285"/>
      <c r="AL59" s="285"/>
    </row>
    <row r="60" spans="2:38" ht="8.4499999999999993" customHeight="1" x14ac:dyDescent="0.25">
      <c r="B60" s="17"/>
      <c r="C60" s="1049"/>
      <c r="D60" s="1383"/>
      <c r="E60" s="1386"/>
      <c r="F60" s="1386"/>
      <c r="G60" s="1386"/>
      <c r="H60" s="1386"/>
      <c r="I60" s="1386"/>
      <c r="J60" s="1386"/>
      <c r="K60" s="1386"/>
      <c r="L60" s="1386"/>
      <c r="M60" s="17"/>
      <c r="N60" s="784"/>
      <c r="O60" s="17"/>
      <c r="P60" s="61"/>
      <c r="Q60" s="17"/>
      <c r="S60" s="807">
        <f>S59</f>
        <v>0</v>
      </c>
      <c r="T60" s="118"/>
      <c r="U60" s="1420" t="str">
        <f ca="1">IF($AH$116="","",LEFT($AH$116,4))</f>
        <v/>
      </c>
      <c r="V60" s="1421" t="str">
        <f ca="1">IF($AH$116="","",RIGHT($AH$116,LEN($AH$116)-4))</f>
        <v/>
      </c>
      <c r="W60" s="1421"/>
      <c r="X60" s="1421"/>
      <c r="Y60" s="1421"/>
      <c r="Z60" s="1421"/>
      <c r="AA60" s="285"/>
      <c r="AB60" s="285"/>
      <c r="AC60" s="285"/>
      <c r="AD60" s="285"/>
      <c r="AE60" s="285"/>
      <c r="AF60" s="285"/>
      <c r="AG60" s="285"/>
      <c r="AH60" s="285"/>
      <c r="AI60" s="285"/>
      <c r="AJ60" s="285"/>
      <c r="AK60" s="285"/>
      <c r="AL60" s="285"/>
    </row>
    <row r="61" spans="2:38" x14ac:dyDescent="0.25">
      <c r="B61" s="17"/>
      <c r="C61" s="1049"/>
      <c r="D61" s="419"/>
      <c r="E61" s="788"/>
      <c r="F61" s="788"/>
      <c r="G61" s="788"/>
      <c r="H61" s="788"/>
      <c r="I61" s="788"/>
      <c r="J61" s="788"/>
      <c r="K61" s="788"/>
      <c r="L61" s="445"/>
      <c r="M61" s="17"/>
      <c r="N61" s="17"/>
      <c r="O61" s="17"/>
      <c r="P61" s="61"/>
      <c r="Q61" s="17"/>
      <c r="S61" s="276" t="str">
        <f>IF(S59=0,"LEEG",IF(S59=1,"GOED",IF(S59=2,"GOED","FOUT")))</f>
        <v>LEEG</v>
      </c>
      <c r="T61" s="118"/>
      <c r="U61" s="1420"/>
      <c r="V61" s="1421"/>
      <c r="W61" s="1421"/>
      <c r="X61" s="1421"/>
      <c r="Y61" s="1421"/>
      <c r="Z61" s="1421"/>
      <c r="AA61" s="843" t="s">
        <v>1137</v>
      </c>
      <c r="AB61" s="844" t="str">
        <f>Taal04!$C$136</f>
        <v>De winnaar van het toernooi weet al zijn finalewedstrijden, 4 stuks, te winnen binnen de reguliere speeltijd (inclusief blessuretijd).</v>
      </c>
      <c r="AC61" s="285"/>
      <c r="AD61" s="285"/>
      <c r="AE61" s="285"/>
      <c r="AF61" s="285"/>
      <c r="AG61" s="285"/>
      <c r="AH61" s="285"/>
      <c r="AI61" s="285"/>
      <c r="AJ61" s="285"/>
      <c r="AK61" s="285"/>
      <c r="AL61" s="285"/>
    </row>
    <row r="62" spans="2:38" ht="8.4499999999999993" customHeight="1" x14ac:dyDescent="0.25">
      <c r="B62" s="17"/>
      <c r="C62" s="1049"/>
      <c r="D62" s="1383" t="s">
        <v>95</v>
      </c>
      <c r="E62" s="1386" t="str">
        <f ca="1">IF($H$80=1,VLOOKUP($Y$83,$V$85:$Y$99,2),REPT("...",125))</f>
        <v>Alle 24 deelnemende landen weten elk minimaal één keer te scoren gedurende het toernooi.</v>
      </c>
      <c r="F62" s="1386"/>
      <c r="G62" s="1386"/>
      <c r="H62" s="1386"/>
      <c r="I62" s="1386"/>
      <c r="J62" s="1386"/>
      <c r="K62" s="1386"/>
      <c r="L62" s="1386"/>
      <c r="M62" s="17"/>
      <c r="N62" s="784"/>
      <c r="O62" s="17"/>
      <c r="P62" s="61"/>
      <c r="Q62" s="17"/>
      <c r="R62" s="44"/>
      <c r="S62" s="807">
        <f>S63</f>
        <v>0</v>
      </c>
      <c r="T62" s="118"/>
      <c r="U62" s="1420"/>
      <c r="V62" s="1421"/>
      <c r="W62" s="1421"/>
      <c r="X62" s="1421"/>
      <c r="Y62" s="1421"/>
      <c r="Z62" s="1421"/>
      <c r="AA62" s="285"/>
      <c r="AB62" s="285"/>
      <c r="AC62" s="285"/>
      <c r="AD62" s="285"/>
      <c r="AE62" s="285"/>
      <c r="AF62" s="285"/>
      <c r="AG62" s="285"/>
      <c r="AH62" s="285"/>
      <c r="AI62" s="285"/>
      <c r="AJ62" s="285"/>
      <c r="AK62" s="285"/>
      <c r="AL62" s="285"/>
    </row>
    <row r="63" spans="2:38" ht="15" customHeight="1" x14ac:dyDescent="0.25">
      <c r="B63" s="17"/>
      <c r="C63" s="1049"/>
      <c r="D63" s="1383"/>
      <c r="E63" s="1386"/>
      <c r="F63" s="1386"/>
      <c r="G63" s="1386"/>
      <c r="H63" s="1386"/>
      <c r="I63" s="1386"/>
      <c r="J63" s="1386"/>
      <c r="K63" s="1386"/>
      <c r="L63" s="1386"/>
      <c r="M63" s="17"/>
      <c r="N63" s="902"/>
      <c r="O63" s="765" t="str">
        <f>IF(S65="LEEG","▼        ","")</f>
        <v xml:space="preserve">▼        </v>
      </c>
      <c r="P63" s="1064"/>
      <c r="Q63" s="39"/>
      <c r="R63" s="804"/>
      <c r="S63" s="276">
        <f>IF(ISBLANK(N63),0,IF($T$71&lt;&gt;SUBSTITUTE($T$71,"|"&amp;N63&amp;"|","##"),1,IF($T$72&lt;&gt;SUBSTITUTE($T$72,"|"&amp;N63&amp;"|","##"),2,"X")))</f>
        <v>0</v>
      </c>
      <c r="T63" s="801" t="str">
        <f>IF(S65="GOED",S63&amp;"|","FOUT")</f>
        <v>FOUT</v>
      </c>
      <c r="U63" s="855" t="str">
        <f ca="1">AE117</f>
        <v>geen suggestie mogelijk</v>
      </c>
      <c r="V63" s="318"/>
      <c r="W63" s="318"/>
      <c r="X63" s="318"/>
      <c r="Y63" s="318"/>
      <c r="Z63" s="318"/>
      <c r="AA63" s="285"/>
      <c r="AB63" s="285"/>
      <c r="AC63" s="845" t="s">
        <v>1153</v>
      </c>
      <c r="AD63" s="933" t="s">
        <v>67</v>
      </c>
      <c r="AE63" s="933" t="str">
        <f>IF($N$90="F1e",#REF!,IF($N$90="F2e",Finalewedstrijden!$AR$152,IF($N$90="F3e",#REF!,"")))</f>
        <v>.</v>
      </c>
      <c r="AF63" s="934" t="s">
        <v>412</v>
      </c>
      <c r="AG63" s="933" t="str">
        <f>IF($O$91="GOED",RIGHT(LEFT($AE$63,3),2),"-")</f>
        <v>-</v>
      </c>
      <c r="AH63" s="934" t="s">
        <v>412</v>
      </c>
      <c r="AI63" s="933" t="str">
        <f>IF(AG63="-","-",VLOOKUP(AG63,$AC$5:$AL$36,9,FALSE))</f>
        <v>-</v>
      </c>
      <c r="AJ63" s="285"/>
      <c r="AK63" s="285"/>
      <c r="AL63" s="285"/>
    </row>
    <row r="64" spans="2:38" ht="8.4499999999999993" customHeight="1" x14ac:dyDescent="0.25">
      <c r="B64" s="17"/>
      <c r="C64" s="1049"/>
      <c r="D64" s="1383"/>
      <c r="E64" s="1386"/>
      <c r="F64" s="1386"/>
      <c r="G64" s="1386"/>
      <c r="H64" s="1386"/>
      <c r="I64" s="1386"/>
      <c r="J64" s="1386"/>
      <c r="K64" s="1386"/>
      <c r="L64" s="1386"/>
      <c r="M64" s="17"/>
      <c r="N64" s="784"/>
      <c r="O64" s="17"/>
      <c r="P64" s="61"/>
      <c r="Q64" s="17"/>
      <c r="S64" s="807">
        <f>S63</f>
        <v>0</v>
      </c>
      <c r="T64" s="118"/>
      <c r="U64" s="1420" t="str">
        <f ca="1">IF($AH$117="","",LEFT($AH$117,4))</f>
        <v/>
      </c>
      <c r="V64" s="1421" t="str">
        <f ca="1">IF($AH$117="","",RIGHT($AH$117,LEN($AH$117)-4))</f>
        <v/>
      </c>
      <c r="W64" s="1421"/>
      <c r="X64" s="1421"/>
      <c r="Y64" s="1421"/>
      <c r="Z64" s="1421"/>
      <c r="AA64" s="285"/>
      <c r="AB64" s="285"/>
      <c r="AC64" s="285"/>
      <c r="AD64" s="285"/>
      <c r="AE64" s="285"/>
      <c r="AF64" s="285"/>
      <c r="AG64" s="285"/>
      <c r="AH64" s="285"/>
      <c r="AI64" s="285"/>
      <c r="AJ64" s="285"/>
      <c r="AK64" s="285"/>
      <c r="AL64" s="285"/>
    </row>
    <row r="65" spans="2:38" x14ac:dyDescent="0.25">
      <c r="B65" s="17"/>
      <c r="C65" s="1049"/>
      <c r="D65" s="419"/>
      <c r="E65" s="788"/>
      <c r="F65" s="788"/>
      <c r="G65" s="788"/>
      <c r="H65" s="788"/>
      <c r="I65" s="788"/>
      <c r="J65" s="788"/>
      <c r="K65" s="788"/>
      <c r="L65" s="445"/>
      <c r="M65" s="17"/>
      <c r="N65" s="17"/>
      <c r="O65" s="17"/>
      <c r="P65" s="61"/>
      <c r="Q65" s="17"/>
      <c r="S65" s="276" t="str">
        <f>IF(S63=0,"LEEG",IF(S63=1,"GOED",IF(S63=2,"GOED","FOUT")))</f>
        <v>LEEG</v>
      </c>
      <c r="T65" s="118"/>
      <c r="U65" s="1420"/>
      <c r="V65" s="1421"/>
      <c r="W65" s="1421"/>
      <c r="X65" s="1421"/>
      <c r="Y65" s="1421"/>
      <c r="Z65" s="1421"/>
      <c r="AA65" s="285"/>
      <c r="AB65" s="285"/>
      <c r="AC65" s="845" t="s">
        <v>1154</v>
      </c>
      <c r="AD65" s="285"/>
      <c r="AE65" s="285"/>
      <c r="AF65" s="285"/>
      <c r="AG65" s="285"/>
      <c r="AH65" s="934" t="s">
        <v>412</v>
      </c>
      <c r="AI65" s="933">
        <f>AK37</f>
        <v>1000000</v>
      </c>
      <c r="AJ65" s="933" t="s">
        <v>465</v>
      </c>
      <c r="AK65" s="933">
        <f>COUNTIF(AK5:AL36,AK37)</f>
        <v>32</v>
      </c>
      <c r="AL65" s="285"/>
    </row>
    <row r="66" spans="2:38" ht="8.4499999999999993" customHeight="1" x14ac:dyDescent="0.25">
      <c r="B66" s="17"/>
      <c r="C66" s="1049"/>
      <c r="D66" s="1383" t="s">
        <v>299</v>
      </c>
      <c r="E66" s="1386" t="str">
        <f ca="1">IF($H$80=1,VLOOKUP($Y$84,$V$85:$Y$99,2),REPT("...",125))</f>
        <v>Gedurende het toernooi weet de scheidsrechter in twee of meerdere wedstrijden zijn kaarten op zak te houden.</v>
      </c>
      <c r="F66" s="1386"/>
      <c r="G66" s="1386"/>
      <c r="H66" s="1386"/>
      <c r="I66" s="1386"/>
      <c r="J66" s="1386"/>
      <c r="K66" s="1386"/>
      <c r="L66" s="1386"/>
      <c r="M66" s="17"/>
      <c r="N66" s="784"/>
      <c r="O66" s="17"/>
      <c r="P66" s="61"/>
      <c r="Q66" s="17"/>
      <c r="R66" s="44"/>
      <c r="S66" s="807">
        <f>S67</f>
        <v>0</v>
      </c>
      <c r="T66" s="118"/>
      <c r="U66" s="1420"/>
      <c r="V66" s="1421"/>
      <c r="W66" s="1421"/>
      <c r="X66" s="1421"/>
      <c r="Y66" s="1421"/>
      <c r="Z66" s="1421"/>
      <c r="AA66" s="285"/>
      <c r="AB66" s="285"/>
      <c r="AC66" s="285"/>
      <c r="AD66" s="285"/>
      <c r="AE66" s="285"/>
      <c r="AF66" s="285"/>
      <c r="AG66" s="285"/>
      <c r="AH66" s="285"/>
      <c r="AI66" s="285"/>
      <c r="AJ66" s="285"/>
      <c r="AK66" s="285"/>
      <c r="AL66" s="285"/>
    </row>
    <row r="67" spans="2:38" ht="15" customHeight="1" x14ac:dyDescent="0.25">
      <c r="B67" s="17"/>
      <c r="C67" s="1049"/>
      <c r="D67" s="1383"/>
      <c r="E67" s="1386"/>
      <c r="F67" s="1386"/>
      <c r="G67" s="1386"/>
      <c r="H67" s="1386"/>
      <c r="I67" s="1386"/>
      <c r="J67" s="1386"/>
      <c r="K67" s="1386"/>
      <c r="L67" s="1386"/>
      <c r="M67" s="17"/>
      <c r="N67" s="902"/>
      <c r="O67" s="765" t="str">
        <f>IF(S69="LEEG","▼        ","")</f>
        <v xml:space="preserve">▼        </v>
      </c>
      <c r="P67" s="1064"/>
      <c r="Q67" s="39"/>
      <c r="R67" s="804"/>
      <c r="S67" s="276">
        <f>IF(ISBLANK(N67),0,IF($T$71&lt;&gt;SUBSTITUTE($T$71,"|"&amp;N67&amp;"|","##"),1,IF($T$72&lt;&gt;SUBSTITUTE($T$72,"|"&amp;N67&amp;"|","##"),2,"X")))</f>
        <v>0</v>
      </c>
      <c r="T67" s="801" t="str">
        <f>IF(S69="GOED",S67&amp;"|","FOUT")</f>
        <v>FOUT</v>
      </c>
      <c r="U67" s="855" t="str">
        <f ca="1">AE118</f>
        <v>geen suggestie mogelijk</v>
      </c>
      <c r="V67" s="318"/>
      <c r="W67" s="318"/>
      <c r="X67" s="318"/>
      <c r="Y67" s="318"/>
      <c r="Z67" s="318"/>
      <c r="AA67" s="285"/>
      <c r="AB67" s="285"/>
      <c r="AC67" s="285"/>
      <c r="AD67" s="285"/>
      <c r="AE67" s="285"/>
      <c r="AF67" s="285"/>
      <c r="AG67" s="285"/>
      <c r="AH67" s="285"/>
      <c r="AI67" s="1362" t="str">
        <f>IF(OR($AI$55="onvoldoende gegevens",$AI$57="onvoldoende gegevens"),"onvoldoende gegevens",IF(OR(AND($AI$55= "JA",$AI$57="JA"),AND($AI$55="JA",$AI$57="geen suggestie mogelijk")),IF(AND($AI$63=$AI$65,$AK$65=1),"JA","NEE"),"geen suggestie mogelijk"))</f>
        <v>geen suggestie mogelijk</v>
      </c>
      <c r="AJ67" s="1363"/>
      <c r="AK67" s="1364"/>
      <c r="AL67" s="285"/>
    </row>
    <row r="68" spans="2:38" ht="8.4499999999999993" customHeight="1" x14ac:dyDescent="0.25">
      <c r="B68" s="17"/>
      <c r="C68" s="1049"/>
      <c r="D68" s="1383"/>
      <c r="E68" s="1386"/>
      <c r="F68" s="1386"/>
      <c r="G68" s="1386"/>
      <c r="H68" s="1386"/>
      <c r="I68" s="1386"/>
      <c r="J68" s="1386"/>
      <c r="K68" s="1386"/>
      <c r="L68" s="1386"/>
      <c r="M68" s="17"/>
      <c r="N68" s="784"/>
      <c r="O68" s="17"/>
      <c r="P68" s="61"/>
      <c r="Q68" s="17"/>
      <c r="S68" s="807">
        <f>S67</f>
        <v>0</v>
      </c>
      <c r="T68" s="118"/>
      <c r="U68" s="1420" t="str">
        <f ca="1">IF($AH$118="","",LEFT($AH$118,4))</f>
        <v/>
      </c>
      <c r="V68" s="1421" t="str">
        <f ca="1">IF($AH$118="","",RIGHT($AH$118,LEN($AH$118)-4))</f>
        <v/>
      </c>
      <c r="W68" s="1421"/>
      <c r="X68" s="1421"/>
      <c r="Y68" s="1421"/>
      <c r="Z68" s="1421"/>
      <c r="AA68" s="930"/>
      <c r="AB68" s="930"/>
      <c r="AC68" s="285"/>
      <c r="AD68" s="285"/>
      <c r="AE68" s="285"/>
      <c r="AF68" s="285"/>
      <c r="AG68" s="285"/>
      <c r="AH68" s="285"/>
      <c r="AI68" s="285"/>
      <c r="AJ68" s="285"/>
      <c r="AK68" s="285"/>
      <c r="AL68" s="285"/>
    </row>
    <row r="69" spans="2:38" x14ac:dyDescent="0.25">
      <c r="B69" s="17"/>
      <c r="C69" s="1050"/>
      <c r="D69" s="108"/>
      <c r="E69" s="108"/>
      <c r="F69" s="108"/>
      <c r="G69" s="108"/>
      <c r="H69" s="108"/>
      <c r="I69" s="108"/>
      <c r="J69" s="108"/>
      <c r="K69" s="108"/>
      <c r="L69" s="108"/>
      <c r="M69" s="108"/>
      <c r="N69" s="108"/>
      <c r="O69" s="108"/>
      <c r="P69" s="1052"/>
      <c r="Q69" s="17"/>
      <c r="S69" s="276" t="str">
        <f>IF(S67=0,"LEEG",IF(S67=1,"GOED",IF(S67=2,"GOED","FOUT")))</f>
        <v>LEEG</v>
      </c>
      <c r="T69" s="118"/>
      <c r="U69" s="1420"/>
      <c r="V69" s="1421"/>
      <c r="W69" s="1421"/>
      <c r="X69" s="1421"/>
      <c r="Y69" s="1421"/>
      <c r="Z69" s="1421"/>
      <c r="AA69" s="843" t="s">
        <v>1140</v>
      </c>
      <c r="AB69" s="844" t="str">
        <f>Taal04!$C$140</f>
        <v>Alle 24 deelnemende landen weten elk minimaal één keer te scoren gedurende het toernooi.</v>
      </c>
      <c r="AC69" s="929"/>
      <c r="AD69" s="929"/>
      <c r="AE69" s="929"/>
      <c r="AF69" s="929"/>
      <c r="AG69" s="929"/>
      <c r="AH69" s="929"/>
      <c r="AI69" s="929"/>
      <c r="AJ69" s="929"/>
      <c r="AK69" s="929"/>
      <c r="AL69" s="929"/>
    </row>
    <row r="70" spans="2:38" x14ac:dyDescent="0.25">
      <c r="B70" s="17"/>
      <c r="C70" s="12"/>
      <c r="D70" s="12"/>
      <c r="E70" s="12"/>
      <c r="F70" s="12"/>
      <c r="G70" s="12"/>
      <c r="H70" s="12"/>
      <c r="I70" s="12"/>
      <c r="J70" s="12"/>
      <c r="K70" s="12"/>
      <c r="L70" s="12"/>
      <c r="M70" s="12"/>
      <c r="N70" s="12"/>
      <c r="O70" s="12"/>
      <c r="P70" s="12"/>
      <c r="Q70" s="17"/>
      <c r="R70" s="44"/>
      <c r="S70" s="319"/>
      <c r="T70" s="46"/>
      <c r="U70" s="1420"/>
      <c r="V70" s="1421"/>
      <c r="W70" s="1421"/>
      <c r="X70" s="1421"/>
      <c r="Y70" s="1421"/>
      <c r="Z70" s="1421"/>
      <c r="AA70" s="930"/>
      <c r="AB70" s="930"/>
      <c r="AC70" s="930"/>
      <c r="AD70" s="930"/>
      <c r="AE70" s="930"/>
      <c r="AF70" s="930"/>
      <c r="AG70" s="931" t="s">
        <v>1993</v>
      </c>
      <c r="AH70" s="932" t="s">
        <v>67</v>
      </c>
      <c r="AI70" s="932">
        <f>SMALL(AF4:AF36,1)</f>
        <v>0</v>
      </c>
      <c r="AJ70" s="930"/>
      <c r="AK70" s="930"/>
      <c r="AL70" s="930"/>
    </row>
    <row r="71" spans="2:38" ht="15" customHeight="1" x14ac:dyDescent="0.25">
      <c r="B71" s="17"/>
      <c r="C71" s="1075"/>
      <c r="D71" s="1093" t="str">
        <f>IF(Reglement!D71="","",Reglement!D71)</f>
        <v>www.excel-pool.nl</v>
      </c>
      <c r="E71" s="1093"/>
      <c r="F71" s="1093"/>
      <c r="G71" s="1093"/>
      <c r="H71" s="1093"/>
      <c r="I71" s="1093"/>
      <c r="J71" s="1093"/>
      <c r="K71" s="1093"/>
      <c r="L71" s="1093"/>
      <c r="M71" s="1093"/>
      <c r="N71" s="1093"/>
      <c r="O71" s="1094" t="str">
        <f>IF(Reglement!M71="","",Reglement!M71)</f>
        <v>©2024 Eric de Jong v24.00hd</v>
      </c>
      <c r="P71" s="1079"/>
      <c r="Q71" s="17"/>
      <c r="R71" s="44"/>
      <c r="S71" s="319" t="str">
        <f ca="1">UPPER(Taal04!B127)</f>
        <v>EENS</v>
      </c>
      <c r="T71" s="46" t="str">
        <f>UPPER("|"&amp;Taal04!C127&amp;"|"&amp;Taal04!D127&amp;"|"&amp;Taal04!E127&amp;"|"&amp;Taal04!F127&amp;"|"&amp;Taal04!G127&amp;"|"&amp;Taal04!H127&amp;"|"&amp;Taal04!I127&amp;"|"&amp;Taal04!J127&amp;"|")</f>
        <v>|EENS|TRUE|WAHR|ENS|||||</v>
      </c>
      <c r="U71" s="49"/>
      <c r="V71" s="318"/>
      <c r="W71" s="318"/>
      <c r="Y71" s="318"/>
      <c r="Z71" s="318"/>
      <c r="AA71" s="930"/>
      <c r="AB71" s="930"/>
      <c r="AC71" s="930"/>
      <c r="AD71" s="930"/>
      <c r="AE71" s="930"/>
      <c r="AF71" s="930"/>
      <c r="AG71" s="931" t="s">
        <v>1996</v>
      </c>
      <c r="AH71" s="932" t="s">
        <v>67</v>
      </c>
      <c r="AI71" s="932">
        <v>1</v>
      </c>
      <c r="AJ71" s="930"/>
      <c r="AK71" s="930"/>
      <c r="AL71" s="930"/>
    </row>
    <row r="72" spans="2:38" ht="15" customHeight="1" x14ac:dyDescent="0.25">
      <c r="B72" s="17"/>
      <c r="C72" s="16"/>
      <c r="D72" s="16"/>
      <c r="E72" s="16"/>
      <c r="F72" s="16"/>
      <c r="G72" s="16"/>
      <c r="H72" s="16"/>
      <c r="I72" s="16"/>
      <c r="J72" s="16"/>
      <c r="K72" s="16"/>
      <c r="L72" s="16"/>
      <c r="M72" s="16"/>
      <c r="N72" s="16"/>
      <c r="O72" s="16"/>
      <c r="P72" s="16"/>
      <c r="Q72" s="17"/>
      <c r="R72" s="44"/>
      <c r="S72" s="319" t="str">
        <f ca="1">UPPER(Taal04!B128)</f>
        <v>ONEENS</v>
      </c>
      <c r="T72" s="46" t="str">
        <f>UPPER("|"&amp;Taal04!C128&amp;"|"&amp;Taal04!D128&amp;"|"&amp;Taal04!E128&amp;"|"&amp;Taal04!F128&amp;"|"&amp;Taal04!G128&amp;"|"&amp;Taal04!H128&amp;"|"&amp;Taal04!I128&amp;"|"&amp;Taal04!J128&amp;"|")</f>
        <v>|ONEENS|FALSE|FALSCH|OENSE|||||</v>
      </c>
      <c r="U72" s="49"/>
      <c r="V72" s="318"/>
      <c r="W72" s="318"/>
      <c r="Y72" s="318"/>
      <c r="Z72" s="318"/>
      <c r="AA72" s="930"/>
      <c r="AB72" s="930"/>
      <c r="AC72" s="930"/>
      <c r="AD72" s="930" t="str">
        <f>IF(AI55="JA",IF(AI70&gt;=AI71,"JA",IF(OR(AI57="JA",AI57="geen suggestie mogelijk"),"NEE","onvoldoende gegevens")),IF(AI55="onvoldoende gegevens","onvoldoende gegevens","geen suggestie mogelijk"))</f>
        <v>geen suggestie mogelijk</v>
      </c>
      <c r="AE72" s="930"/>
      <c r="AF72" s="930"/>
      <c r="AG72" s="930"/>
      <c r="AH72" s="930"/>
      <c r="AI72" s="1409" t="str">
        <f>IF($AI$55="JA",IF($AI$70&gt;=$AI$71,"JA",IF(OR($AI$57="JA",$AI$57="geen suggestie mogelijk"),"NEE","onvoldoende gegevens")),IF($AI$55="onvoldoende gegevens","onvoldoende gegevens","geen suggestie mogelijk"))</f>
        <v>geen suggestie mogelijk</v>
      </c>
      <c r="AJ72" s="1410"/>
      <c r="AK72" s="1411"/>
      <c r="AL72" s="930"/>
    </row>
    <row r="73" spans="2:38" x14ac:dyDescent="0.25">
      <c r="S73" s="44"/>
      <c r="AA73" s="843" t="s">
        <v>1142</v>
      </c>
      <c r="AB73" s="844" t="str">
        <f>Taal04!$C$142</f>
        <v>Gedurende het toernooi worden er niet meer dan zes doelpunten gescoord in één wedstrijd (inclusief een eventuele verlenging).</v>
      </c>
      <c r="AC73" s="930"/>
      <c r="AD73" s="930"/>
      <c r="AE73" s="930"/>
      <c r="AF73" s="930"/>
      <c r="AG73" s="930"/>
      <c r="AH73" s="930"/>
      <c r="AI73" s="930"/>
      <c r="AJ73" s="930"/>
      <c r="AK73" s="930"/>
      <c r="AL73" s="930"/>
    </row>
    <row r="74" spans="2:38" x14ac:dyDescent="0.25">
      <c r="S74" s="44"/>
      <c r="AA74" s="930"/>
      <c r="AB74" s="930"/>
      <c r="AC74" s="931"/>
      <c r="AD74" s="932"/>
      <c r="AE74" s="930"/>
      <c r="AF74" s="930"/>
      <c r="AG74" s="931" t="s">
        <v>1994</v>
      </c>
      <c r="AH74" s="932" t="s">
        <v>67</v>
      </c>
      <c r="AI74" s="932" t="str">
        <f>IF($H$88="JA",#REF!,"nvt")</f>
        <v>nvt</v>
      </c>
      <c r="AJ74" s="1367" t="s">
        <v>412</v>
      </c>
      <c r="AK74" s="1367" t="e">
        <f>LARGE(AI74:AI75,1)</f>
        <v>#NUM!</v>
      </c>
      <c r="AL74" s="929"/>
    </row>
    <row r="75" spans="2:38" x14ac:dyDescent="0.25">
      <c r="S75" s="44"/>
      <c r="AA75" s="930"/>
      <c r="AB75" s="930"/>
      <c r="AC75" s="931"/>
      <c r="AD75" s="932"/>
      <c r="AE75" s="930"/>
      <c r="AF75" s="930"/>
      <c r="AG75" s="931" t="s">
        <v>1995</v>
      </c>
      <c r="AH75" s="932" t="s">
        <v>67</v>
      </c>
      <c r="AI75" s="932" t="str">
        <f>IF($H$91="JA",#REF!,"nvt")</f>
        <v>nvt</v>
      </c>
      <c r="AJ75" s="1367"/>
      <c r="AK75" s="1367"/>
      <c r="AL75" s="930"/>
    </row>
    <row r="76" spans="2:38" x14ac:dyDescent="0.25">
      <c r="S76" s="44"/>
      <c r="AA76" s="930"/>
      <c r="AB76" s="930"/>
      <c r="AC76" s="931"/>
      <c r="AD76" s="932"/>
      <c r="AE76" s="930"/>
      <c r="AF76" s="930"/>
      <c r="AG76" s="931" t="s">
        <v>1997</v>
      </c>
      <c r="AH76" s="932" t="s">
        <v>67</v>
      </c>
      <c r="AI76" s="932">
        <v>6</v>
      </c>
      <c r="AJ76" s="930"/>
      <c r="AK76" s="930"/>
      <c r="AL76" s="930"/>
    </row>
    <row r="77" spans="2:38" x14ac:dyDescent="0.25">
      <c r="S77" s="44"/>
      <c r="AA77" s="930"/>
      <c r="AB77" s="930"/>
      <c r="AC77" s="930"/>
      <c r="AD77" s="930"/>
      <c r="AE77" s="930"/>
      <c r="AF77" s="930"/>
      <c r="AG77" s="930"/>
      <c r="AH77" s="930"/>
      <c r="AI77" s="1409" t="str">
        <f>IF($AI$55="JA",IF($AK$74&gt;$AI$76,"NEE",IF(OR($AI$57="JA",$AI$57="geen suggestie mogelijk"),"JA","onvoldoende gegevens")),IF($AI$55="onvoldoende gegevens","onvoldoende gegevens","geen suggestie mogelijk"))</f>
        <v>geen suggestie mogelijk</v>
      </c>
      <c r="AJ77" s="1410"/>
      <c r="AK77" s="1411"/>
      <c r="AL77" s="930"/>
    </row>
    <row r="78" spans="2:38" x14ac:dyDescent="0.25">
      <c r="S78" s="44"/>
    </row>
    <row r="79" spans="2:38" x14ac:dyDescent="0.25">
      <c r="S79" s="44"/>
      <c r="AA79" s="842" t="s">
        <v>485</v>
      </c>
      <c r="AB79" s="287"/>
      <c r="AC79" s="287"/>
      <c r="AD79" s="287"/>
      <c r="AE79" s="287"/>
      <c r="AF79" s="287"/>
      <c r="AG79" s="287"/>
      <c r="AH79" s="287"/>
      <c r="AI79" s="287"/>
      <c r="AJ79" s="1404" t="s">
        <v>487</v>
      </c>
      <c r="AK79" s="1404"/>
      <c r="AL79" s="287"/>
    </row>
    <row r="80" spans="2:38" ht="15" hidden="1" customHeight="1" x14ac:dyDescent="0.25">
      <c r="B80" s="142"/>
      <c r="C80" s="349" t="s">
        <v>303</v>
      </c>
      <c r="D80" s="142"/>
      <c r="E80" s="142"/>
      <c r="F80" s="142"/>
      <c r="G80" s="142"/>
      <c r="H80" s="1387">
        <f>IF(AND(Reglement!Q81=1,Reglement!S87="JA"),1,0)</f>
        <v>1</v>
      </c>
      <c r="I80" s="1388"/>
      <c r="J80" s="1402" t="s">
        <v>300</v>
      </c>
      <c r="K80" s="1402"/>
      <c r="L80" s="1402"/>
      <c r="M80" s="1402"/>
      <c r="N80" s="1402"/>
      <c r="O80" s="1402"/>
      <c r="P80" s="1402"/>
      <c r="Q80" s="1402"/>
      <c r="R80" s="1402"/>
      <c r="S80" s="1402"/>
      <c r="T80" s="1402"/>
      <c r="U80" s="43"/>
      <c r="V80" s="1395" t="s">
        <v>459</v>
      </c>
      <c r="W80" s="1395"/>
      <c r="X80" s="415" t="s">
        <v>462</v>
      </c>
      <c r="Y80" s="282">
        <f>IF($H$80=1,Reglement!R97,"x")</f>
        <v>2</v>
      </c>
      <c r="AA80" s="287" t="s">
        <v>502</v>
      </c>
      <c r="AB80" s="288" t="s">
        <v>2535</v>
      </c>
      <c r="AC80" s="287"/>
      <c r="AD80" s="287"/>
      <c r="AE80" s="936" t="str">
        <f ca="1">IF(AJ80=$AL$91,$S$87,IF(AJ80=$AL$92,$S$88,IF(AJ80=$AL$93,$S$98,IF(AJ80=$AL$94,$S$99,$S$88))))</f>
        <v>onvoldoende gegevens voor suggestie</v>
      </c>
      <c r="AF80" s="406"/>
      <c r="AG80" s="407"/>
      <c r="AH80" s="937" t="str">
        <f>""</f>
        <v/>
      </c>
      <c r="AI80" s="1098"/>
      <c r="AJ80" s="853" t="str">
        <f>IF(AND($H$91="JA",$H$92="JA",$H$93="JA"),#REF!,IF(AND($H$92="JA",$H$93="JA"),Finalewedstrijden!AR155,IF($H$93="JA",#REF!,"n.v.t.")))</f>
        <v>onvoldoende gegevens</v>
      </c>
      <c r="AK80" s="1099"/>
      <c r="AL80" s="928" t="s">
        <v>330</v>
      </c>
    </row>
    <row r="81" spans="2:38" hidden="1" x14ac:dyDescent="0.25">
      <c r="B81" s="142"/>
      <c r="C81" s="281" t="s">
        <v>457</v>
      </c>
      <c r="D81" s="142"/>
      <c r="E81" s="142"/>
      <c r="F81" s="142"/>
      <c r="G81" s="142"/>
      <c r="H81" s="282">
        <f>IF($H$80=1,Reglement!R91,"x")</f>
        <v>5</v>
      </c>
      <c r="I81" s="282">
        <f>IF($H$80=1,Reglement!R92,"x")</f>
        <v>4</v>
      </c>
      <c r="J81" s="43"/>
      <c r="K81" s="308" t="s">
        <v>334</v>
      </c>
      <c r="L81" s="43"/>
      <c r="M81" s="282">
        <f>COUNTIF(S9:S69,"LEEG")</f>
        <v>15</v>
      </c>
      <c r="N81" s="43"/>
      <c r="O81" s="1396" t="str">
        <f>"|"&amp;T13&amp;T15&amp;T17&amp;T19&amp;T21&amp;T32&amp;T34&amp;T36&amp;T38&amp;T40&amp;T51&amp;T55&amp;T59&amp;T63&amp;T67&amp;T14&amp;T16&amp;"}"</f>
        <v>|FOUTFOUTFOUTFOUTFOUTFOUTFOUTFOUTFOUTFOUTFOUTFOUTFOUTFOUTFOUT#3#3}</v>
      </c>
      <c r="P81" s="1397"/>
      <c r="Q81" s="1397"/>
      <c r="R81" s="1397"/>
      <c r="S81" s="1397"/>
      <c r="T81" s="1398"/>
      <c r="U81" s="43"/>
      <c r="V81" s="1395"/>
      <c r="W81" s="1395"/>
      <c r="X81" s="415" t="s">
        <v>463</v>
      </c>
      <c r="Y81" s="282">
        <f>IF($H$80=1,Reglement!R98,"x")</f>
        <v>3</v>
      </c>
      <c r="AA81" s="287" t="s">
        <v>503</v>
      </c>
      <c r="AB81" s="1097" t="s">
        <v>2544</v>
      </c>
      <c r="AC81" s="287"/>
      <c r="AD81" s="287"/>
      <c r="AE81" s="936" t="str">
        <f t="shared" ref="AE81:AE94" ca="1" si="7">IF(AJ81=$AL$91,$S$87,IF(AJ81=$AL$92,$S$88,IF(AJ81=$AL$93,$S$98,IF(AJ81=$AL$94,$S$99,$S$88))))</f>
        <v>onvoldoende gegevens voor suggestie</v>
      </c>
      <c r="AF81" s="406"/>
      <c r="AG81" s="407"/>
      <c r="AH81" s="937" t="str">
        <f>""</f>
        <v/>
      </c>
      <c r="AI81" s="1098"/>
      <c r="AJ81" s="853" t="str">
        <f>IF(AND($H$91="JA",$H$92="JA",$H$93="JA"),#REF!,IF(AND($H$92="JA",$H$93="JA"),Finalewedstrijden!AR156,IF($H$93="JA",#REF!,"n.v.t.")))</f>
        <v>onvoldoende gegevens</v>
      </c>
      <c r="AK81" s="1099"/>
      <c r="AL81" s="928" t="s">
        <v>330</v>
      </c>
    </row>
    <row r="82" spans="2:38" hidden="1" x14ac:dyDescent="0.25">
      <c r="B82" s="142"/>
      <c r="C82" s="281" t="s">
        <v>304</v>
      </c>
      <c r="D82" s="142"/>
      <c r="E82" s="142"/>
      <c r="F82" s="142"/>
      <c r="G82" s="142"/>
      <c r="H82" s="1389">
        <f>IF($H$80=1,Reglement!R93,"x")</f>
        <v>5</v>
      </c>
      <c r="I82" s="1390"/>
      <c r="J82" s="43"/>
      <c r="K82" s="308" t="s">
        <v>301</v>
      </c>
      <c r="L82" s="43"/>
      <c r="M82" s="282">
        <f>15-M81-M83</f>
        <v>0</v>
      </c>
      <c r="N82" s="43"/>
      <c r="O82" s="1399"/>
      <c r="P82" s="1400"/>
      <c r="Q82" s="1400"/>
      <c r="R82" s="1400"/>
      <c r="S82" s="1400"/>
      <c r="T82" s="1401"/>
      <c r="U82" s="43"/>
      <c r="V82" s="416"/>
      <c r="W82" s="416"/>
      <c r="X82" s="415" t="s">
        <v>464</v>
      </c>
      <c r="Y82" s="282">
        <f>IF($H$80=1,Reglement!R99,"x")</f>
        <v>11</v>
      </c>
      <c r="AA82" s="287" t="s">
        <v>504</v>
      </c>
      <c r="AB82" s="288" t="s">
        <v>2534</v>
      </c>
      <c r="AC82" s="287"/>
      <c r="AD82" s="287"/>
      <c r="AE82" s="936" t="str">
        <f t="shared" ca="1" si="7"/>
        <v>onvoldoende gegevens voor suggestie</v>
      </c>
      <c r="AF82" s="406"/>
      <c r="AG82" s="407"/>
      <c r="AH82" s="937" t="str">
        <f>""</f>
        <v/>
      </c>
      <c r="AI82" s="1098"/>
      <c r="AJ82" s="853" t="str">
        <f>IF(AND($H$91="JA",$H$92="JA",$H$93="JA"),#REF!,IF(AND($H$92="JA",$H$93="JA"),Finalewedstrijden!AR157,IF($H$93="JA",#REF!,"n.v.t.")))</f>
        <v>onvoldoende gegevens</v>
      </c>
      <c r="AK82" s="1099"/>
      <c r="AL82" s="928" t="s">
        <v>330</v>
      </c>
    </row>
    <row r="83" spans="2:38" hidden="1" x14ac:dyDescent="0.25">
      <c r="B83" s="142"/>
      <c r="C83" s="281" t="s">
        <v>458</v>
      </c>
      <c r="D83" s="142"/>
      <c r="E83" s="142"/>
      <c r="F83" s="142"/>
      <c r="G83" s="142"/>
      <c r="H83" s="282">
        <f>IF($H$80=1,Reglement!R94,"x")</f>
        <v>1</v>
      </c>
      <c r="I83" s="282" t="str">
        <f>IF($H$80=1,Reglement!R95,"x")</f>
        <v/>
      </c>
      <c r="J83" s="43"/>
      <c r="K83" s="308" t="s">
        <v>302</v>
      </c>
      <c r="L83" s="43"/>
      <c r="M83" s="282">
        <f>15-COUNTIF(T10:T70,"FOUT")</f>
        <v>0</v>
      </c>
      <c r="N83" s="43"/>
      <c r="O83" s="43"/>
      <c r="P83" s="43"/>
      <c r="Q83" s="43"/>
      <c r="R83" s="43"/>
      <c r="S83" s="43"/>
      <c r="T83" s="806">
        <f>LEN(O81)</f>
        <v>66</v>
      </c>
      <c r="U83" s="43"/>
      <c r="V83" s="416"/>
      <c r="W83" s="416"/>
      <c r="X83" s="415" t="s">
        <v>461</v>
      </c>
      <c r="Y83" s="282">
        <f>IF($H$80=1,Reglement!R100,"x")</f>
        <v>12</v>
      </c>
      <c r="AA83" s="287" t="s">
        <v>505</v>
      </c>
      <c r="AB83" s="288" t="s">
        <v>1122</v>
      </c>
      <c r="AC83" s="287"/>
      <c r="AD83" s="287"/>
      <c r="AE83" s="936" t="str">
        <f t="shared" ca="1" si="7"/>
        <v>onvoldoende gegevens voor suggestie</v>
      </c>
      <c r="AF83" s="406"/>
      <c r="AG83" s="407"/>
      <c r="AH83" s="938" t="str">
        <f>IF(AK83="opm1",$S$89,IF(AK83="opm2",$S$90,IF(AK83="opm3",$S$91,"")))</f>
        <v/>
      </c>
      <c r="AI83" s="1098"/>
      <c r="AJ83" s="853" t="str">
        <f>IF(AND($H$91="JA",$H$92="JA",$H$93="JA"),#REF!,IF(AND($H$92="JA",$H$93="JA"),Finalewedstrijden!AR158,IF($H$93="JA",#REF!,"n.v.t.")))</f>
        <v>onvoldoende gegevens</v>
      </c>
      <c r="AK83" s="1100" t="str">
        <f>IF(OR(AJ83="JA",AJ83="NEE"),IF(H85=2,"opm2",""),"")</f>
        <v/>
      </c>
      <c r="AL83" s="928" t="s">
        <v>330</v>
      </c>
    </row>
    <row r="84" spans="2:38" hidden="1" x14ac:dyDescent="0.25">
      <c r="B84" s="142"/>
      <c r="C84" s="281" t="s">
        <v>305</v>
      </c>
      <c r="D84" s="142"/>
      <c r="E84" s="142"/>
      <c r="F84" s="142"/>
      <c r="G84" s="142"/>
      <c r="H84" s="1389">
        <f>IF($H$80=1,Reglement!R96,"x")</f>
        <v>2</v>
      </c>
      <c r="I84" s="1390"/>
      <c r="J84" s="43"/>
      <c r="K84" s="43"/>
      <c r="L84" s="43"/>
      <c r="M84" s="43"/>
      <c r="N84" s="43"/>
      <c r="O84" s="43"/>
      <c r="P84" s="43"/>
      <c r="Q84" s="43"/>
      <c r="R84" s="43"/>
      <c r="S84" s="243" t="s">
        <v>198</v>
      </c>
      <c r="T84" s="244" t="str">
        <f>IF(LEN(SUBSTITUTE(O81,"FOUT","ONGELDIG"))=T83,"GOED","FOUT")</f>
        <v>FOUT</v>
      </c>
      <c r="U84" s="43"/>
      <c r="V84" s="416"/>
      <c r="W84" s="416"/>
      <c r="X84" s="415" t="s">
        <v>460</v>
      </c>
      <c r="Y84" s="282">
        <f>IF($H$80=1,Reglement!R101,"x")</f>
        <v>15</v>
      </c>
      <c r="AA84" s="287" t="s">
        <v>506</v>
      </c>
      <c r="AB84" s="1097" t="s">
        <v>1981</v>
      </c>
      <c r="AC84" s="287"/>
      <c r="AD84" s="287"/>
      <c r="AE84" s="936" t="str">
        <f t="shared" ca="1" si="7"/>
        <v>onvoldoende gegevens voor suggestie</v>
      </c>
      <c r="AF84" s="406"/>
      <c r="AG84" s="407"/>
      <c r="AH84" s="937" t="str">
        <f>""</f>
        <v/>
      </c>
      <c r="AI84" s="1098"/>
      <c r="AJ84" s="853" t="str">
        <f>IF(AND($H$91="JA",$H$92="JA",$H$93="JA"),#REF!,IF(AND($H$92="JA",$H$93="JA"),Finalewedstrijden!AR159,IF($H$93="JA",#REF!,"n.v.t.")))</f>
        <v>onvoldoende gegevens</v>
      </c>
      <c r="AK84" s="1099"/>
      <c r="AL84" s="928" t="s">
        <v>330</v>
      </c>
    </row>
    <row r="85" spans="2:38" hidden="1" x14ac:dyDescent="0.25">
      <c r="B85" s="142"/>
      <c r="C85" s="281" t="s">
        <v>501</v>
      </c>
      <c r="D85" s="142"/>
      <c r="E85" s="142"/>
      <c r="F85" s="142"/>
      <c r="G85" s="142"/>
      <c r="H85" s="1391">
        <f>IF($H$80=1,Reglement!H90,"x")</f>
        <v>1</v>
      </c>
      <c r="I85" s="1392"/>
      <c r="J85" s="43"/>
      <c r="K85" s="43"/>
      <c r="L85" s="43"/>
      <c r="M85" s="43"/>
      <c r="N85" s="43"/>
      <c r="O85" s="43"/>
      <c r="P85" s="43"/>
      <c r="Q85" s="43"/>
      <c r="R85" s="43"/>
      <c r="S85" s="43"/>
      <c r="T85" s="43"/>
      <c r="U85" s="43"/>
      <c r="V85" s="415">
        <v>1</v>
      </c>
      <c r="W85" s="1394" t="str">
        <f ca="1">Taal04!B129</f>
        <v>Net zoals tijdens EURO 2020 weten België, Duitsland, Engeland, Frankrijk, Italië, Nederland, Portugal en Spanje allen de achtste finales te bereiken.</v>
      </c>
      <c r="X85" s="1394"/>
      <c r="Y85" s="1394"/>
      <c r="AA85" s="287" t="s">
        <v>507</v>
      </c>
      <c r="AB85" s="1097" t="s">
        <v>2548</v>
      </c>
      <c r="AC85" s="287"/>
      <c r="AD85" s="287"/>
      <c r="AE85" s="936" t="str">
        <f t="shared" ca="1" si="7"/>
        <v>onvoldoende gegevens voor suggestie</v>
      </c>
      <c r="AF85" s="406"/>
      <c r="AG85" s="407"/>
      <c r="AH85" s="937" t="str">
        <f>""</f>
        <v/>
      </c>
      <c r="AI85" s="1098"/>
      <c r="AJ85" s="853" t="str">
        <f>IF(AND($H$91="JA",$H$92="JA",$H$93="JA"),#REF!,IF(AND($H$92="JA",$H$93="JA"),Finalewedstrijden!AR160,IF($H$93="JA",#REF!,"n.v.t.")))</f>
        <v>onvoldoende gegevens</v>
      </c>
      <c r="AK85" s="1099"/>
      <c r="AL85" s="928" t="s">
        <v>330</v>
      </c>
    </row>
    <row r="86" spans="2:38" ht="15" hidden="1" customHeight="1" x14ac:dyDescent="0.25">
      <c r="B86" s="277"/>
      <c r="C86" s="278" t="s">
        <v>306</v>
      </c>
      <c r="D86" s="277"/>
      <c r="E86" s="277"/>
      <c r="F86" s="277"/>
      <c r="G86" s="277"/>
      <c r="H86" s="277"/>
      <c r="I86" s="277"/>
      <c r="J86" s="277"/>
      <c r="K86" s="277"/>
      <c r="L86" s="277"/>
      <c r="M86" s="277"/>
      <c r="N86" s="277"/>
      <c r="O86" s="277"/>
      <c r="P86" s="277"/>
      <c r="Q86" s="277"/>
      <c r="R86" s="268"/>
      <c r="S86" s="854"/>
      <c r="T86" s="854"/>
      <c r="U86" s="854"/>
      <c r="V86" s="415">
        <f t="shared" ref="V86:V99" si="8">V85+1</f>
        <v>2</v>
      </c>
      <c r="W86" s="1394" t="str">
        <f ca="1">Taal04!B130</f>
        <v>Van de vier landen die als beste nr. 3 doorgaan naar de achtste finales weet er minimaal één ook de kwartfinales te bereiken.</v>
      </c>
      <c r="X86" s="1394"/>
      <c r="Y86" s="1394"/>
      <c r="AA86" s="287" t="s">
        <v>508</v>
      </c>
      <c r="AB86" s="1097" t="s">
        <v>2539</v>
      </c>
      <c r="AC86" s="287"/>
      <c r="AD86" s="287"/>
      <c r="AE86" s="936" t="str">
        <f t="shared" ca="1" si="7"/>
        <v>onvoldoende gegevens voor suggestie</v>
      </c>
      <c r="AF86" s="406"/>
      <c r="AG86" s="407"/>
      <c r="AH86" s="937" t="str">
        <f>""</f>
        <v/>
      </c>
      <c r="AI86" s="1098"/>
      <c r="AJ86" s="853" t="str">
        <f>IF(AND($H$91="JA",$H$92="JA",$H$93="JA"),#REF!,IF(AND($H$92="JA",$H$93="JA"),Finalewedstrijden!AR161,IF($H$93="JA",#REF!,"n.v.t.")))</f>
        <v>onvoldoende gegevens</v>
      </c>
      <c r="AK86" s="1099"/>
      <c r="AL86" s="928" t="s">
        <v>330</v>
      </c>
    </row>
    <row r="87" spans="2:38" ht="15" hidden="1" customHeight="1" x14ac:dyDescent="0.25">
      <c r="B87" s="277"/>
      <c r="C87" s="284" t="s">
        <v>307</v>
      </c>
      <c r="D87" s="277"/>
      <c r="E87" s="277"/>
      <c r="F87" s="277"/>
      <c r="G87" s="277"/>
      <c r="H87" s="1393" t="str">
        <f>LEFT(RIGHT(O71,2),1)</f>
        <v>h</v>
      </c>
      <c r="I87" s="1393"/>
      <c r="J87" s="277"/>
      <c r="K87" s="277"/>
      <c r="L87" s="277"/>
      <c r="M87" s="277"/>
      <c r="N87" s="309" t="s">
        <v>335</v>
      </c>
      <c r="O87" s="1403" t="s">
        <v>64</v>
      </c>
      <c r="P87" s="1403"/>
      <c r="Q87" s="1403"/>
      <c r="R87" s="268"/>
      <c r="S87" s="857" t="str">
        <f ca="1">Taal04!$B$146</f>
        <v>onvoldoende gegevens voor suggestie</v>
      </c>
      <c r="T87" s="71"/>
      <c r="U87" s="71"/>
      <c r="V87" s="415">
        <f t="shared" si="8"/>
        <v>3</v>
      </c>
      <c r="W87" s="1394" t="str">
        <f ca="1">Taal04!B131</f>
        <v>Van de zes groepswinnaars weten er minimaal vijf de achtste finales te overleven en zo ook de kwartfinales te bereiken.</v>
      </c>
      <c r="X87" s="1394"/>
      <c r="Y87" s="1394"/>
      <c r="AA87" s="287" t="s">
        <v>509</v>
      </c>
      <c r="AB87" s="1097" t="s">
        <v>1123</v>
      </c>
      <c r="AC87" s="287"/>
      <c r="AD87" s="287"/>
      <c r="AE87" s="936" t="str">
        <f t="shared" ca="1" si="7"/>
        <v>onvoldoende gegevens voor suggestie</v>
      </c>
      <c r="AF87" s="406"/>
      <c r="AG87" s="407"/>
      <c r="AH87" s="938" t="str">
        <f>IF(AK86="opm1",$S$89,IF(AK86="opm2",$S$90,IF(AK86="opm3",$S$91,"")))</f>
        <v/>
      </c>
      <c r="AI87" s="1098"/>
      <c r="AJ87" s="852" t="str">
        <f>IF(AND($H$91="JA",$H$92="JA",$H$93="JA"),#REF!,IF(AND($H$92="JA",$H$93="JA"),Finalewedstrijden!AR162,IF($H$93="JA",#REF!,"n.v.t.")))</f>
        <v>onvoldoende gegevens</v>
      </c>
      <c r="AK87" s="935" t="str">
        <f>IF(OR(AJ86="JA",AJ86="NEE"),IF(H85=2,"opm2",""),"")</f>
        <v/>
      </c>
      <c r="AL87" s="928" t="s">
        <v>330</v>
      </c>
    </row>
    <row r="88" spans="2:38" ht="15" hidden="1" customHeight="1" x14ac:dyDescent="0.25">
      <c r="B88" s="277"/>
      <c r="C88" s="284" t="s">
        <v>313</v>
      </c>
      <c r="D88" s="277"/>
      <c r="E88" s="277"/>
      <c r="F88" s="277"/>
      <c r="G88" s="277"/>
      <c r="H88" s="1393" t="str">
        <f>IF(CODE($H$87)&lt;104,"JA","NEE")</f>
        <v>NEE</v>
      </c>
      <c r="I88" s="1393"/>
      <c r="J88" s="284" t="s">
        <v>314</v>
      </c>
      <c r="K88" s="277"/>
      <c r="L88" s="277"/>
      <c r="M88" s="277"/>
      <c r="N88" s="282" t="str">
        <f>IF(AND(H88="JA",H89="JA"),"G1e",IF(AND(H88="NEE",H89="JA"),"G2e","n.v.t."))</f>
        <v>G2e</v>
      </c>
      <c r="O88" s="1405" t="str">
        <f ca="1">IF(N88="G1e",#REF!,IF(N88="G2e",Groepswedstrijden!AD16,"n.v.t."))</f>
        <v>FOUT</v>
      </c>
      <c r="P88" s="1405"/>
      <c r="Q88" s="1405"/>
      <c r="R88" s="268"/>
      <c r="S88" s="857" t="str">
        <f ca="1">Taal04!$B$147</f>
        <v>geen suggestie mogelijk</v>
      </c>
      <c r="T88" s="71"/>
      <c r="U88" s="71"/>
      <c r="V88" s="415">
        <f t="shared" si="8"/>
        <v>4</v>
      </c>
      <c r="W88" s="1394" t="str">
        <f ca="1">Taal04!B132</f>
        <v>Van de vijftien finale wedstrijden worden zes wedstrijden of meer beslist door een verlenging of strafschoppenserie.</v>
      </c>
      <c r="X88" s="1394"/>
      <c r="Y88" s="1394"/>
      <c r="AA88" s="287" t="s">
        <v>510</v>
      </c>
      <c r="AB88" s="1097" t="s">
        <v>1124</v>
      </c>
      <c r="AC88" s="287"/>
      <c r="AD88" s="287"/>
      <c r="AE88" s="936" t="str">
        <f t="shared" ca="1" si="7"/>
        <v>geen suggestie mogelijk</v>
      </c>
      <c r="AF88" s="406"/>
      <c r="AG88" s="407"/>
      <c r="AH88" s="1101" t="str">
        <f>IF(AK87="opm1",$S$89,IF(AK87="opm2",$S$90,IF(AK87="opm3",$S$91,"")))</f>
        <v/>
      </c>
      <c r="AI88" s="1098"/>
      <c r="AJ88" s="853" t="str">
        <f>$AI$67</f>
        <v>geen suggestie mogelijk</v>
      </c>
      <c r="AK88" s="935" t="str">
        <f>IF(OR(AJ87="JA",AJ87="NEE"),IF(H91="NEE","opm1",IF(H85=1,"opm3","")),"")</f>
        <v/>
      </c>
      <c r="AL88" s="928" t="s">
        <v>330</v>
      </c>
    </row>
    <row r="89" spans="2:38" hidden="1" x14ac:dyDescent="0.25">
      <c r="B89" s="268"/>
      <c r="C89" s="283" t="s">
        <v>308</v>
      </c>
      <c r="D89" s="268"/>
      <c r="E89" s="268"/>
      <c r="F89" s="268"/>
      <c r="G89" s="268"/>
      <c r="H89" s="1393" t="str">
        <f>IF(CODE($H$87)&lt;108,"JA","NEE")</f>
        <v>JA</v>
      </c>
      <c r="I89" s="1393"/>
      <c r="J89" s="284" t="s">
        <v>315</v>
      </c>
      <c r="K89" s="277"/>
      <c r="L89" s="277"/>
      <c r="M89" s="277"/>
      <c r="N89" s="282" t="str">
        <f>IF(H90="JA","E1e","n.v.t.")</f>
        <v>E1e</v>
      </c>
      <c r="O89" s="1405" t="str">
        <f>IF(N89="E1e",'Eindstand Groep'!AA59,"n.v.t.")</f>
        <v>FOUT</v>
      </c>
      <c r="P89" s="1405"/>
      <c r="Q89" s="1405"/>
      <c r="R89" s="268"/>
      <c r="S89" s="857" t="str">
        <f ca="1">"  └ "&amp;Taal04!$B$148</f>
        <v xml:space="preserve">  └ suggestie is op basis van enkel de groepswedstrijden</v>
      </c>
      <c r="T89" s="71"/>
      <c r="U89" s="71"/>
      <c r="V89" s="415">
        <f t="shared" si="8"/>
        <v>5</v>
      </c>
      <c r="W89" s="1394" t="str">
        <f ca="1">Taal04!B133</f>
        <v>De finale van het toernooi zal worden gespeeld door twee landen die in de groepsfase eerste van de groep zijn geworden.</v>
      </c>
      <c r="X89" s="1394"/>
      <c r="Y89" s="1394"/>
      <c r="AA89" s="287" t="s">
        <v>486</v>
      </c>
      <c r="AB89" s="1097" t="s">
        <v>1125</v>
      </c>
      <c r="AC89" s="287"/>
      <c r="AD89" s="287"/>
      <c r="AE89" s="936" t="str">
        <f t="shared" ca="1" si="7"/>
        <v>geen suggestie mogelijk</v>
      </c>
      <c r="AF89" s="406"/>
      <c r="AG89" s="407"/>
      <c r="AH89" s="937" t="str">
        <f>""</f>
        <v/>
      </c>
      <c r="AI89" s="1098"/>
      <c r="AJ89" s="853" t="str">
        <f>IF(AND($H$91="JA",$H$92="JA",$H$93="JA"),#REF!,IF(AND($H$92="JA",$H$93="JA"),Finalewedstrijden!AR164,IF($H$93="JA",#REF!,"n.v.t.")))</f>
        <v>geen suggestie mogelijk</v>
      </c>
      <c r="AK89" s="1099"/>
      <c r="AL89" s="928" t="s">
        <v>330</v>
      </c>
    </row>
    <row r="90" spans="2:38" hidden="1" x14ac:dyDescent="0.25">
      <c r="B90" s="268"/>
      <c r="C90" s="283" t="s">
        <v>309</v>
      </c>
      <c r="D90" s="268"/>
      <c r="E90" s="268"/>
      <c r="F90" s="268"/>
      <c r="G90" s="268"/>
      <c r="H90" s="1393" t="str">
        <f>IF(ISEVEN(CODE($H$87)),"JA","NEE")</f>
        <v>JA</v>
      </c>
      <c r="I90" s="1393"/>
      <c r="J90" s="284" t="s">
        <v>316</v>
      </c>
      <c r="K90" s="277"/>
      <c r="L90" s="268"/>
      <c r="M90" s="268"/>
      <c r="N90" s="282" t="str">
        <f>IF(AND(H91="JA",H92="JA",H93="JA"),"F1e",IF(AND(H91="NEE",H92="JA",H93="JA"),"F2e",IF(AND(H91="NEE",H92="NEE",H93="JA"),"F3e","n.v.t.")))</f>
        <v>F2e</v>
      </c>
      <c r="O90" s="1405" t="str">
        <f>IF(N90="F1e",#REF!,IF(N90="F2e",Finalewedstrijden!AP71,IF(N90="F3e",#REF!,"n.v.t.")))</f>
        <v>FOUT</v>
      </c>
      <c r="P90" s="1405"/>
      <c r="Q90" s="1405"/>
      <c r="R90" s="268"/>
      <c r="S90" s="857" t="str">
        <f ca="1">"  └ "&amp;Taal04!$B$149</f>
        <v xml:space="preserve">  └ wedstrijden waarin de beslissing tijdens de verlenging valt zijn niet meegeteld</v>
      </c>
      <c r="T90" s="71"/>
      <c r="U90" s="71"/>
      <c r="V90" s="415">
        <f t="shared" si="8"/>
        <v>6</v>
      </c>
      <c r="W90" s="1394" t="str">
        <f ca="1">Taal04!B134</f>
        <v>Tijdens EURO 2020 stonden Engeland en Italië in de finale tegenover elkaar. Één of beide teams weten ook deze editie weer te finale te bereiken.</v>
      </c>
      <c r="X90" s="1394"/>
      <c r="Y90" s="1394"/>
      <c r="AA90" s="287" t="s">
        <v>1117</v>
      </c>
      <c r="AB90" s="1097" t="s">
        <v>1126</v>
      </c>
      <c r="AC90" s="287"/>
      <c r="AD90" s="287"/>
      <c r="AE90" s="936" t="str">
        <f t="shared" ca="1" si="7"/>
        <v>geen suggestie mogelijk</v>
      </c>
      <c r="AF90" s="406"/>
      <c r="AG90" s="407"/>
      <c r="AH90" s="937" t="str">
        <f>""</f>
        <v/>
      </c>
      <c r="AI90" s="1098"/>
      <c r="AJ90" s="853" t="str">
        <f>IF(AND($H$91="JA",$H$92="JA",$H$93="JA"),#REF!,IF(AND($H$92="JA",$H$93="JA"),Finalewedstrijden!AR165,IF($H$93="JA",#REF!,"n.v.t.")))</f>
        <v>geen suggestie mogelijk</v>
      </c>
      <c r="AK90" s="1099"/>
      <c r="AL90" s="928" t="s">
        <v>330</v>
      </c>
    </row>
    <row r="91" spans="2:38" hidden="1" x14ac:dyDescent="0.25">
      <c r="B91" s="268"/>
      <c r="C91" s="283" t="s">
        <v>310</v>
      </c>
      <c r="D91" s="283"/>
      <c r="E91" s="268"/>
      <c r="F91" s="268"/>
      <c r="G91" s="268"/>
      <c r="H91" s="1393" t="str">
        <f>IF(OR(CODE($H$87)=100,CODE($H$87)=101),"JA","NEE")</f>
        <v>NEE</v>
      </c>
      <c r="I91" s="1393"/>
      <c r="J91" s="268"/>
      <c r="K91" s="277"/>
      <c r="L91" s="268"/>
      <c r="M91" s="268"/>
      <c r="N91" s="310" t="s">
        <v>1160</v>
      </c>
      <c r="O91" s="1405" t="str">
        <f>IF(N90="F1e",#REF!,IF(N90="F2e",Finalewedstrijden!AL59,IF(N90="F3e",#REF!,"n.v.t.")))</f>
        <v>LEEG</v>
      </c>
      <c r="P91" s="1405"/>
      <c r="Q91" s="1405"/>
      <c r="R91" s="268"/>
      <c r="S91" s="857" t="str">
        <f ca="1">"  └ "&amp;Taal04!$B$150</f>
        <v xml:space="preserve">  └ doelpunten gescoord tijdens een eventuele verlenging zijn niet meegeteld</v>
      </c>
      <c r="T91" s="854"/>
      <c r="U91" s="854"/>
      <c r="V91" s="415">
        <f t="shared" si="8"/>
        <v>7</v>
      </c>
      <c r="W91" s="1394" t="str">
        <f ca="1">Taal04!B135</f>
        <v>Het land dat zich aan het einde van het toernooi Europees kampioen mag noemen is één van de landen uit groep A, B of C.</v>
      </c>
      <c r="X91" s="1394"/>
      <c r="Y91" s="1394"/>
      <c r="AA91" s="287" t="s">
        <v>1118</v>
      </c>
      <c r="AB91" s="1097" t="s">
        <v>1982</v>
      </c>
      <c r="AC91" s="287"/>
      <c r="AD91" s="287"/>
      <c r="AE91" s="936" t="str">
        <f t="shared" ca="1" si="7"/>
        <v>geen suggestie mogelijk</v>
      </c>
      <c r="AF91" s="406"/>
      <c r="AG91" s="407"/>
      <c r="AH91" s="938" t="str">
        <f>IF(AK91="opm1",$S$89,IF(AK91="opm2",$S$90,IF(AK91="opm3",$S$91,"")))</f>
        <v/>
      </c>
      <c r="AI91" s="1098"/>
      <c r="AJ91" s="852" t="str">
        <f>$AI$72</f>
        <v>geen suggestie mogelijk</v>
      </c>
      <c r="AK91" s="935" t="str">
        <f>IF(OR(AJ91="JA",AJ91="NEE"),IF(H91="NEE","opm1",IF(H85=1,"opm3","")),"")</f>
        <v/>
      </c>
      <c r="AL91" s="939" t="s">
        <v>1168</v>
      </c>
    </row>
    <row r="92" spans="2:38" hidden="1" x14ac:dyDescent="0.25">
      <c r="B92" s="268"/>
      <c r="C92" s="283" t="s">
        <v>311</v>
      </c>
      <c r="D92" s="283"/>
      <c r="E92" s="268"/>
      <c r="F92" s="268"/>
      <c r="G92" s="268"/>
      <c r="H92" s="1393" t="str">
        <f>IF(OR(CODE($H$87)=100,CODE($H$87)=101,CODE($H$87)=104,CODE($H$87)=105),"JA","NEE")</f>
        <v>JA</v>
      </c>
      <c r="I92" s="1393"/>
      <c r="J92" s="268"/>
      <c r="K92" s="277"/>
      <c r="L92" s="268"/>
      <c r="M92" s="268"/>
      <c r="N92" s="310" t="s">
        <v>336</v>
      </c>
      <c r="O92" s="1406" t="str">
        <f ca="1">IF(N89="E1e",IF(AND(O88="GOED",O89="GOED",O90="GOED"),"JA","NEE"),IF(AND(O88="GOED",O90="GOED"),"JA","NEE"))</f>
        <v>NEE</v>
      </c>
      <c r="P92" s="1406"/>
      <c r="Q92" s="1406"/>
      <c r="R92" s="268"/>
      <c r="S92" s="857" t="str">
        <f ca="1">Taal04!$B$151</f>
        <v>doelpunt</v>
      </c>
      <c r="T92" s="854"/>
      <c r="U92" s="854"/>
      <c r="V92" s="415">
        <f t="shared" si="8"/>
        <v>8</v>
      </c>
      <c r="W92" s="1394" t="str">
        <f ca="1">Taal04!B136</f>
        <v>De winnaar van het toernooi weet al zijn finalewedstrijden, 4 stuks, te winnen binnen de reguliere speeltijd (inclusief blessuretijd).</v>
      </c>
      <c r="X92" s="1394"/>
      <c r="Y92" s="1394"/>
      <c r="AA92" s="287" t="s">
        <v>1119</v>
      </c>
      <c r="AB92" s="1097" t="s">
        <v>2550</v>
      </c>
      <c r="AC92" s="287"/>
      <c r="AD92" s="287"/>
      <c r="AE92" s="936" t="str">
        <f t="shared" ca="1" si="7"/>
        <v>geen suggestie mogelijk</v>
      </c>
      <c r="AF92" s="406"/>
      <c r="AG92" s="407"/>
      <c r="AH92" s="937" t="str">
        <f>""</f>
        <v/>
      </c>
      <c r="AI92" s="1098"/>
      <c r="AJ92" s="853" t="str">
        <f>IF(AND($H$91="JA",$H$92="JA",$H$93="JA"),#REF!,IF(AND($H$92="JA",$H$93="JA"),Finalewedstrijden!AR167,IF($H$93="JA",#REF!,"n.v.t.")))</f>
        <v>geen suggestie mogelijk</v>
      </c>
      <c r="AK92" s="1099"/>
      <c r="AL92" s="939" t="s">
        <v>317</v>
      </c>
    </row>
    <row r="93" spans="2:38" hidden="1" x14ac:dyDescent="0.25">
      <c r="B93" s="268"/>
      <c r="C93" s="283" t="s">
        <v>312</v>
      </c>
      <c r="D93" s="283"/>
      <c r="E93" s="268"/>
      <c r="F93" s="268"/>
      <c r="G93" s="268"/>
      <c r="H93" s="1393" t="str">
        <f>IF(CODE($H$87)&lt;108,"JA","NEE")</f>
        <v>JA</v>
      </c>
      <c r="I93" s="1393"/>
      <c r="J93" s="268"/>
      <c r="K93" s="277"/>
      <c r="L93" s="268"/>
      <c r="M93" s="268"/>
      <c r="N93" s="310" t="s">
        <v>356</v>
      </c>
      <c r="O93" s="1406">
        <f ca="1">S6</f>
        <v>1</v>
      </c>
      <c r="P93" s="1406"/>
      <c r="Q93" s="1406"/>
      <c r="R93" s="268"/>
      <c r="S93" s="857" t="str">
        <f ca="1">Taal04!$B$152</f>
        <v>doelpunten</v>
      </c>
      <c r="T93" s="854"/>
      <c r="U93" s="854"/>
      <c r="V93" s="415">
        <f t="shared" si="8"/>
        <v>9</v>
      </c>
      <c r="W93" s="1394" t="str">
        <f ca="1">Taal04!B137</f>
        <v>De winnaar van het toernooi heeft een beter doelsaldo dan de andere teams. In geval van een gelijk doelsaldo zijn de gescoorde doelpunten doorslaggevend.</v>
      </c>
      <c r="X93" s="1394"/>
      <c r="Y93" s="1394"/>
      <c r="AA93" s="287" t="s">
        <v>1120</v>
      </c>
      <c r="AB93" s="1097" t="s">
        <v>1983</v>
      </c>
      <c r="AC93" s="287"/>
      <c r="AD93" s="287"/>
      <c r="AE93" s="936" t="str">
        <f t="shared" ca="1" si="7"/>
        <v>geen suggestie mogelijk</v>
      </c>
      <c r="AF93" s="406"/>
      <c r="AG93" s="407"/>
      <c r="AH93" s="938" t="str">
        <f>IF(AK93="opm1",$S$89,IF(AK93="opm2",$S$90,IF(AK93="opm3",$S$91,"")))</f>
        <v/>
      </c>
      <c r="AI93" s="1098"/>
      <c r="AJ93" s="852" t="str">
        <f>$AI$77</f>
        <v>geen suggestie mogelijk</v>
      </c>
      <c r="AK93" s="935" t="str">
        <f>IF(OR(AJ93="JA",AJ93="NEE"),IF(H91="NEE","opm1",IF(H85=1,"opm3","")),"")</f>
        <v/>
      </c>
      <c r="AL93" s="939" t="s">
        <v>63</v>
      </c>
    </row>
    <row r="94" spans="2:38" hidden="1" x14ac:dyDescent="0.25">
      <c r="B94" s="268"/>
      <c r="C94" s="283" t="s">
        <v>100</v>
      </c>
      <c r="D94" s="283"/>
      <c r="E94" s="268"/>
      <c r="F94" s="268"/>
      <c r="G94" s="344" t="str">
        <f>RIGHT(O71,1)</f>
        <v>d</v>
      </c>
      <c r="H94" s="1393" t="str">
        <f>IF(CODE($G$94)&lt;104,"JA","NEE")</f>
        <v>JA</v>
      </c>
      <c r="I94" s="1393"/>
      <c r="J94" s="284" t="s">
        <v>408</v>
      </c>
      <c r="K94" s="277"/>
      <c r="L94" s="268"/>
      <c r="M94" s="268"/>
      <c r="N94" s="282" t="str">
        <f>IF(H94="JA","B1e","n.v.t.")</f>
        <v>B1e</v>
      </c>
      <c r="O94" s="1405" t="str">
        <f>IF(N94="B1e",Bonusvragen!T84,"n.v.t.")</f>
        <v>FOUT</v>
      </c>
      <c r="P94" s="1405"/>
      <c r="Q94" s="1405"/>
      <c r="R94" s="268"/>
      <c r="S94" s="857" t="str">
        <f ca="1">Taal04!$B$153</f>
        <v>geen enkele keer gelijkspel voorspeld</v>
      </c>
      <c r="T94" s="854"/>
      <c r="U94" s="854"/>
      <c r="V94" s="415">
        <f t="shared" si="8"/>
        <v>10</v>
      </c>
      <c r="W94" s="1394" t="str">
        <f ca="1">Taal04!B138</f>
        <v>De winnaar van het toernooi levert tevens ook de topscorer van het toernooi of één van de topscorers.</v>
      </c>
      <c r="X94" s="1394"/>
      <c r="Y94" s="1394"/>
      <c r="AA94" s="287" t="s">
        <v>1121</v>
      </c>
      <c r="AB94" s="1097" t="s">
        <v>1984</v>
      </c>
      <c r="AC94" s="287"/>
      <c r="AD94" s="287"/>
      <c r="AE94" s="936" t="str">
        <f t="shared" ca="1" si="7"/>
        <v>geen suggestie mogelijk</v>
      </c>
      <c r="AF94" s="406"/>
      <c r="AG94" s="407"/>
      <c r="AH94" s="937" t="str">
        <f>""</f>
        <v/>
      </c>
      <c r="AI94" s="1098"/>
      <c r="AJ94" s="853" t="str">
        <f>IF(AND($H$91="JA",$H$92="JA",$H$93="JA"),#REF!,IF(AND($H$92="JA",$H$93="JA"),Finalewedstrijden!AR169,IF($H$93="JA",#REF!,"n.v.t.")))</f>
        <v>geen suggestie mogelijk</v>
      </c>
      <c r="AK94" s="1099"/>
      <c r="AL94" s="939" t="s">
        <v>62</v>
      </c>
    </row>
    <row r="95" spans="2:38" hidden="1" x14ac:dyDescent="0.25">
      <c r="B95" s="268"/>
      <c r="C95" s="268"/>
      <c r="D95" s="268"/>
      <c r="E95" s="268"/>
      <c r="F95" s="268"/>
      <c r="G95" s="268"/>
      <c r="H95" s="280"/>
      <c r="I95" s="268"/>
      <c r="J95" s="268"/>
      <c r="K95" s="277"/>
      <c r="L95" s="268"/>
      <c r="M95" s="268"/>
      <c r="N95" s="268"/>
      <c r="O95" s="268"/>
      <c r="P95" s="280"/>
      <c r="Q95" s="268"/>
      <c r="R95" s="268"/>
      <c r="S95" s="857" t="str">
        <f ca="1">Taal04!$B$154</f>
        <v>keer gelijkspel voorspeld</v>
      </c>
      <c r="T95" s="854"/>
      <c r="U95" s="854"/>
      <c r="V95" s="415">
        <f t="shared" si="8"/>
        <v>11</v>
      </c>
      <c r="W95" s="1394" t="str">
        <f ca="1">Taal04!B139</f>
        <v>Tijdens het toernooi weet een speler in één wedstrijd drie keer of meer te scoren, oftewel een hattrick. Benutte penalty's tijdens een strafschoppenserie tellen niet mee.</v>
      </c>
      <c r="X95" s="1394"/>
      <c r="Y95" s="1394"/>
      <c r="AA95" s="287"/>
      <c r="AB95" s="287"/>
      <c r="AC95" s="287"/>
      <c r="AD95" s="287"/>
      <c r="AE95" s="287"/>
      <c r="AF95" s="287"/>
      <c r="AG95" s="287"/>
      <c r="AH95" s="287"/>
      <c r="AI95" s="287"/>
      <c r="AJ95" s="287"/>
      <c r="AK95" s="287"/>
      <c r="AL95" s="287"/>
    </row>
    <row r="96" spans="2:38" hidden="1" x14ac:dyDescent="0.25">
      <c r="R96" s="44"/>
      <c r="S96" s="857" t="str">
        <f ca="1">Taal04!$B$155</f>
        <v>geen enkele keer winst / verlies voorspeld</v>
      </c>
      <c r="T96" s="854"/>
      <c r="U96" s="854"/>
      <c r="V96" s="415">
        <f t="shared" si="8"/>
        <v>12</v>
      </c>
      <c r="W96" s="1394" t="str">
        <f ca="1">Taal04!B140</f>
        <v>Alle 24 deelnemende landen weten elk minimaal één keer te scoren gedurende het toernooi.</v>
      </c>
      <c r="X96" s="1394"/>
      <c r="Y96" s="1394"/>
    </row>
    <row r="97" spans="2:38" hidden="1" x14ac:dyDescent="0.25">
      <c r="B97" s="311"/>
      <c r="C97" s="311"/>
      <c r="D97" s="311"/>
      <c r="E97" s="311"/>
      <c r="F97" s="311"/>
      <c r="G97" s="311"/>
      <c r="H97" s="311"/>
      <c r="I97" s="311"/>
      <c r="J97" s="311"/>
      <c r="K97" s="311"/>
      <c r="L97" s="311"/>
      <c r="M97" s="311"/>
      <c r="N97" s="311"/>
      <c r="O97" s="311"/>
      <c r="P97" s="311"/>
      <c r="Q97" s="311"/>
      <c r="R97" s="311"/>
      <c r="S97" s="857" t="str">
        <f ca="1">Taal04!$B$156</f>
        <v>keer winst/verlies voorspeld</v>
      </c>
      <c r="T97" s="854"/>
      <c r="U97" s="854"/>
      <c r="V97" s="415">
        <f t="shared" si="8"/>
        <v>13</v>
      </c>
      <c r="W97" s="1394" t="str">
        <f ca="1">Taal04!B141</f>
        <v>Van alle gescoorde doelpunten tijdens het toernooi worden er minimaal vijf in eigen doel gescoord.</v>
      </c>
      <c r="X97" s="1394"/>
      <c r="Y97" s="1394"/>
      <c r="AA97" s="846" t="s">
        <v>483</v>
      </c>
      <c r="AB97" s="847"/>
      <c r="AC97" s="847"/>
      <c r="AD97" s="847"/>
      <c r="AE97" s="847"/>
      <c r="AF97" s="847"/>
      <c r="AG97" s="847"/>
      <c r="AH97" s="847"/>
      <c r="AI97" s="847"/>
      <c r="AJ97" s="847"/>
      <c r="AK97" s="847"/>
      <c r="AL97" s="847"/>
    </row>
    <row r="98" spans="2:38" hidden="1" x14ac:dyDescent="0.25">
      <c r="B98" s="311"/>
      <c r="C98" s="311" t="str">
        <f ca="1">IF(AL123=24,LEFT(Taal02!B48,24*2),Taal02!B48)</f>
        <v>B4E1C2A1C4D4F2A3B3B2D2E4D3D1F3E3A2C3C1E2B1F4F1A4</v>
      </c>
      <c r="D98" s="311"/>
      <c r="E98" s="311"/>
      <c r="F98" s="311"/>
      <c r="G98" s="311"/>
      <c r="H98" s="311"/>
      <c r="I98" s="311"/>
      <c r="J98" s="311"/>
      <c r="K98" s="311"/>
      <c r="L98" s="311"/>
      <c r="M98" s="789"/>
      <c r="N98" s="789"/>
      <c r="O98" s="789"/>
      <c r="P98" s="789"/>
      <c r="Q98" s="789"/>
      <c r="R98" s="789"/>
      <c r="S98" s="858" t="str">
        <f ca="1">S71</f>
        <v>EENS</v>
      </c>
      <c r="T98" s="854"/>
      <c r="U98" s="854"/>
      <c r="V98" s="415">
        <f t="shared" si="8"/>
        <v>14</v>
      </c>
      <c r="W98" s="1394" t="str">
        <f ca="1">Taal04!B142</f>
        <v>Gedurende het toernooi worden er niet meer dan zes doelpunten gescoord in één wedstrijd (inclusief een eventuele verlenging).</v>
      </c>
      <c r="X98" s="1394"/>
      <c r="Y98" s="1394"/>
      <c r="AA98" s="848" t="s">
        <v>343</v>
      </c>
      <c r="AB98" s="849" t="s">
        <v>426</v>
      </c>
      <c r="AC98" s="847"/>
      <c r="AD98" s="847"/>
      <c r="AE98" s="405" t="str">
        <f ca="1">IF(OR($O$93=1,AND($O$93=2,$S$13&lt;&gt;"GOED")),$S$88,"")</f>
        <v>geen suggestie mogelijk</v>
      </c>
      <c r="AF98" s="406"/>
      <c r="AG98" s="407"/>
      <c r="AH98" s="847"/>
      <c r="AI98" s="847"/>
      <c r="AJ98" s="847"/>
      <c r="AK98" s="847"/>
      <c r="AL98" s="847"/>
    </row>
    <row r="99" spans="2:38" hidden="1" x14ac:dyDescent="0.25">
      <c r="B99" s="311"/>
      <c r="C99" s="311"/>
      <c r="D99" s="311"/>
      <c r="E99" s="311"/>
      <c r="F99" s="311"/>
      <c r="G99" s="311"/>
      <c r="H99" s="311"/>
      <c r="I99" s="311"/>
      <c r="J99" s="311"/>
      <c r="K99" s="311"/>
      <c r="L99" s="311"/>
      <c r="M99" s="311"/>
      <c r="N99" s="311"/>
      <c r="O99" s="311"/>
      <c r="P99" s="311"/>
      <c r="Q99" s="311"/>
      <c r="R99" s="311"/>
      <c r="S99" s="858" t="str">
        <f ca="1">S72</f>
        <v>ONEENS</v>
      </c>
      <c r="T99" s="854"/>
      <c r="U99" s="854"/>
      <c r="V99" s="415">
        <f t="shared" si="8"/>
        <v>15</v>
      </c>
      <c r="W99" s="1394" t="str">
        <f ca="1">Taal04!B143</f>
        <v>Gedurende het toernooi weet de scheidsrechter in twee of meerdere wedstrijden zijn kaarten op zak te houden.</v>
      </c>
      <c r="X99" s="1394"/>
      <c r="Y99" s="1394"/>
      <c r="AA99" s="848" t="s">
        <v>344</v>
      </c>
      <c r="AB99" s="849" t="s">
        <v>427</v>
      </c>
      <c r="AC99" s="847"/>
      <c r="AD99" s="847"/>
      <c r="AE99" s="405" t="str">
        <f ca="1">IF(OR($O$93=1,AND($O$93=2,$S$15&lt;&gt;"GOED")),$S$88,"")</f>
        <v>geen suggestie mogelijk</v>
      </c>
      <c r="AF99" s="406"/>
      <c r="AG99" s="407"/>
      <c r="AH99" s="847"/>
      <c r="AI99" s="847"/>
      <c r="AJ99" s="847"/>
      <c r="AK99" s="847"/>
      <c r="AL99" s="847"/>
    </row>
    <row r="100" spans="2:38" x14ac:dyDescent="0.25">
      <c r="H100" s="44" t="s">
        <v>330</v>
      </c>
      <c r="AA100" s="848" t="s">
        <v>345</v>
      </c>
      <c r="AB100" s="849" t="s">
        <v>347</v>
      </c>
      <c r="AC100" s="847"/>
      <c r="AD100" s="847"/>
      <c r="AE100" s="405" t="str">
        <f ca="1">IF(OR($O$93=1,AND($O$93=2,$S$17=1)),IF($H$88="NEE",$S$88,IF(OR(AND($H$88="JA",$O$88="GOED",$H$91="JA",$O$90="GOED"),AND($H$88="JA",$O$88="GOED",$H$91="NEE")),$AD$41&amp;" "&amp;IF($AD$41=1,$S$92,$S$93)&amp;": "&amp;$AK$41,$S$87)),"")</f>
        <v>geen suggestie mogelijk</v>
      </c>
      <c r="AF100" s="403"/>
      <c r="AG100" s="404"/>
      <c r="AH100" s="850" t="str">
        <f ca="1">IF(OR(AE100="",AE100=$S$88,AE100=$S$87),"",IF(AND($H$88="JA",$H$91="NEE"),"opm1",""))</f>
        <v/>
      </c>
      <c r="AI100" s="847"/>
      <c r="AJ100" s="847"/>
      <c r="AK100" s="847"/>
      <c r="AL100" s="847"/>
    </row>
    <row r="101" spans="2:38" x14ac:dyDescent="0.25">
      <c r="AA101" s="848" t="s">
        <v>346</v>
      </c>
      <c r="AB101" s="849" t="s">
        <v>348</v>
      </c>
      <c r="AC101" s="847"/>
      <c r="AD101" s="847"/>
      <c r="AE101" s="405" t="str">
        <f ca="1">IF(OR($O$93=1,AND($O$93=2,$S$19=1)),IF($H$88="NEE",$S$88,IF(OR(AND($H$88="JA",$O$88="GOED",$H$91="JA",$O$90="GOED"),AND($H$88="JA",$O$88="GOED",$H$91="NEE")),$AD$42&amp;" "&amp;IF($AD$42=1,$S$92,$S$93)&amp;": "&amp;$AK$42,$S$87)),"")</f>
        <v>geen suggestie mogelijk</v>
      </c>
      <c r="AF101" s="403"/>
      <c r="AG101" s="404"/>
      <c r="AH101" s="850" t="str">
        <f ca="1">IF(OR(AE101="",AE101=$S$88,AE101=$S$87),"",IF(AND($H$88="JA",$H$91="NEE"),"opm1",""))</f>
        <v/>
      </c>
      <c r="AI101" s="847"/>
      <c r="AJ101" s="847"/>
      <c r="AK101" s="847"/>
      <c r="AL101" s="847"/>
    </row>
    <row r="102" spans="2:38" x14ac:dyDescent="0.25">
      <c r="AA102" s="848" t="s">
        <v>341</v>
      </c>
      <c r="AB102" s="849" t="s">
        <v>342</v>
      </c>
      <c r="AC102" s="847"/>
      <c r="AD102" s="847"/>
      <c r="AE102" s="405" t="str">
        <f ca="1">IF(OR($O$93=1,AND($O$93=2,$S$21&lt;&gt;"GOED")),$S$88,"")</f>
        <v>geen suggestie mogelijk</v>
      </c>
      <c r="AF102" s="406"/>
      <c r="AG102" s="407"/>
      <c r="AH102" s="847"/>
      <c r="AI102" s="847"/>
      <c r="AJ102" s="847"/>
      <c r="AK102" s="847"/>
      <c r="AL102" s="847"/>
    </row>
    <row r="103" spans="2:38" x14ac:dyDescent="0.25">
      <c r="AA103" s="847"/>
      <c r="AB103" s="847"/>
      <c r="AC103" s="847"/>
      <c r="AD103" s="847"/>
      <c r="AE103" s="847"/>
      <c r="AF103" s="847"/>
      <c r="AG103" s="847"/>
      <c r="AH103" s="847"/>
      <c r="AI103" s="847"/>
      <c r="AJ103" s="847"/>
      <c r="AK103" s="847"/>
      <c r="AL103" s="847"/>
    </row>
    <row r="105" spans="2:38" x14ac:dyDescent="0.25">
      <c r="AA105" s="851" t="s">
        <v>484</v>
      </c>
      <c r="AB105" s="847"/>
      <c r="AC105" s="847"/>
      <c r="AD105" s="847"/>
      <c r="AE105" s="847"/>
      <c r="AF105" s="847"/>
      <c r="AG105" s="847"/>
      <c r="AH105" s="847"/>
      <c r="AI105" s="847"/>
      <c r="AJ105" s="847"/>
      <c r="AK105" s="847"/>
      <c r="AL105" s="847"/>
    </row>
    <row r="106" spans="2:38" x14ac:dyDescent="0.25">
      <c r="AA106" s="848" t="s">
        <v>349</v>
      </c>
      <c r="AB106" s="849" t="s">
        <v>87</v>
      </c>
      <c r="AC106" s="848"/>
      <c r="AD106" s="848"/>
      <c r="AE106" s="405" t="str">
        <f ca="1">IF(OR($O$93=1,AND($O$93=2,$S$32=1)),IF($H$88="NEE",$S$88,IF(OR(AND($H$88="JA",$O$88="GOED",$H$91="JA",$O$90="GOED"),AND($H$88="JA",$O$88="GOED",$H$91="NEE")),$AD$44&amp;" "&amp;IF($AD$44=1,$S$92,$S$93),$S$87)),"")</f>
        <v>geen suggestie mogelijk</v>
      </c>
      <c r="AF106" s="403"/>
      <c r="AG106" s="404"/>
      <c r="AH106" s="850" t="str">
        <f ca="1">IF(OR(AE106="",AE106=$S$88,AE106=$S$87),"",IF(AND($H$88="JA",$H$91="NEE"),"opm1",""))</f>
        <v/>
      </c>
      <c r="AI106" s="847"/>
      <c r="AJ106" s="847"/>
      <c r="AK106" s="847"/>
      <c r="AL106" s="847"/>
    </row>
    <row r="107" spans="2:38" x14ac:dyDescent="0.25">
      <c r="V107" s="461"/>
      <c r="AA107" s="848" t="s">
        <v>350</v>
      </c>
      <c r="AB107" s="849" t="s">
        <v>88</v>
      </c>
      <c r="AC107" s="847"/>
      <c r="AD107" s="847"/>
      <c r="AE107" s="405" t="str">
        <f ca="1">IF(OR($O$93=1,AND($O$93=2,$S$34&lt;&gt;"GOED")),$S$88,"")</f>
        <v>geen suggestie mogelijk</v>
      </c>
      <c r="AF107" s="406"/>
      <c r="AG107" s="407"/>
      <c r="AH107" s="847"/>
      <c r="AI107" s="847"/>
      <c r="AJ107" s="847"/>
      <c r="AK107" s="847"/>
      <c r="AL107" s="847"/>
    </row>
    <row r="108" spans="2:38" x14ac:dyDescent="0.25">
      <c r="V108" s="461"/>
      <c r="AA108" s="848" t="s">
        <v>351</v>
      </c>
      <c r="AB108" s="849" t="s">
        <v>89</v>
      </c>
      <c r="AC108" s="848"/>
      <c r="AD108" s="848"/>
      <c r="AE108" s="405" t="str">
        <f ca="1">IF(OR($O$93=1,AND($O$93=2,$S$36&lt;&gt;"GOED")),$S$88,"")</f>
        <v>geen suggestie mogelijk</v>
      </c>
      <c r="AF108" s="406"/>
      <c r="AG108" s="407"/>
      <c r="AH108" s="848"/>
      <c r="AI108" s="847"/>
      <c r="AJ108" s="847"/>
      <c r="AK108" s="847"/>
      <c r="AL108" s="847"/>
    </row>
    <row r="109" spans="2:38" x14ac:dyDescent="0.25">
      <c r="V109" s="461"/>
      <c r="AA109" s="848" t="s">
        <v>352</v>
      </c>
      <c r="AB109" s="849" t="s">
        <v>354</v>
      </c>
      <c r="AC109" s="848"/>
      <c r="AD109" s="848"/>
      <c r="AE109" s="405" t="str">
        <f ca="1">IF(OR($O$93=1,AND($O$93=2,$S$38&lt;&gt;"GOED")),IF(OR(AND($O$88="GOED",$H$92="JA",$O$90="GOED"),AND($O$88="GOED",$H$92="NEE")),IF($AD$47=0,$S$94,$AD$47&amp;" "&amp;$S$95),$S$87),"")</f>
        <v>onvoldoende gegevens voor suggestie</v>
      </c>
      <c r="AF109" s="403"/>
      <c r="AG109" s="404"/>
      <c r="AH109" s="850" t="str">
        <f ca="1">IF(OR(AE109="",AE109=$S$88,AE109=$S$87),"",IF(AND($H$89="JA",$H$92="NEE"),"opm1",""))</f>
        <v/>
      </c>
      <c r="AI109" s="847"/>
      <c r="AJ109" s="847"/>
      <c r="AK109" s="847"/>
      <c r="AL109" s="847"/>
    </row>
    <row r="110" spans="2:38" x14ac:dyDescent="0.25">
      <c r="AA110" s="848" t="s">
        <v>353</v>
      </c>
      <c r="AB110" s="849" t="s">
        <v>355</v>
      </c>
      <c r="AC110" s="848"/>
      <c r="AD110" s="848"/>
      <c r="AE110" s="405" t="str">
        <f ca="1">IF(OR($O$93=1,AND($O$93=2,$S$38&lt;&gt;"GOED")),IF(OR(AND($O$88="GOED",$H$92="JA",$O$90="GOED"),AND($O$88="GOED",$H$92="NEE")),IF($AD$46=0,$S$96,$AD$46&amp;" "&amp;$S$97),$S$87),"")</f>
        <v>onvoldoende gegevens voor suggestie</v>
      </c>
      <c r="AF110" s="403"/>
      <c r="AG110" s="404"/>
      <c r="AH110" s="850" t="str">
        <f ca="1">IF(OR(AE110="",AE110=$S$88,AE110=$S$87),"",IF(AND($H$89="JA",$H$92="NEE"),"opm1",""))</f>
        <v/>
      </c>
      <c r="AI110" s="847"/>
      <c r="AJ110" s="848"/>
      <c r="AK110" s="848"/>
      <c r="AL110" s="847"/>
    </row>
    <row r="111" spans="2:38" x14ac:dyDescent="0.25">
      <c r="AA111" s="848"/>
      <c r="AB111" s="848"/>
      <c r="AC111" s="848"/>
      <c r="AD111" s="848"/>
      <c r="AE111" s="848"/>
      <c r="AF111" s="848"/>
      <c r="AG111" s="848"/>
      <c r="AH111" s="848"/>
      <c r="AI111" s="847"/>
      <c r="AJ111" s="847"/>
      <c r="AK111" s="847"/>
      <c r="AL111" s="847"/>
    </row>
    <row r="113" spans="27:38" x14ac:dyDescent="0.25">
      <c r="AA113" s="846" t="s">
        <v>488</v>
      </c>
      <c r="AB113" s="848"/>
      <c r="AC113" s="848"/>
      <c r="AD113" s="848"/>
      <c r="AE113" s="848"/>
      <c r="AF113" s="848"/>
      <c r="AG113" s="848"/>
      <c r="AH113" s="848"/>
      <c r="AI113" s="848"/>
      <c r="AJ113" s="848"/>
      <c r="AK113" s="848"/>
      <c r="AL113" s="848"/>
    </row>
    <row r="114" spans="27:38" x14ac:dyDescent="0.25">
      <c r="AA114" s="848" t="str">
        <f>RIGHT(IF(Y80="x","","0")&amp;Y80,2)</f>
        <v>02</v>
      </c>
      <c r="AB114" s="849" t="str">
        <f>IF(AA114="X","n.v.t.",VLOOKUP("3."&amp;AA114,$AA$80:$AB$94,2))</f>
        <v>van de 4 best nr.3, 1 of meer door</v>
      </c>
      <c r="AC114" s="848"/>
      <c r="AD114" s="848"/>
      <c r="AE114" s="405" t="str">
        <f ca="1">IF(AA114="x","",IF(OR($O$93=1,AND($O$93=2,$S$53&lt;&gt;"GOED")),VLOOKUP("3."&amp;AA114,$AA$80:$AG$94,5),""))</f>
        <v>onvoldoende gegevens voor suggestie</v>
      </c>
      <c r="AF114" s="406"/>
      <c r="AG114" s="407"/>
      <c r="AH114" s="940" t="str">
        <f ca="1">IF(AA114="x","n.v.t.",IF(OR($O$93=1,AND($O$93=2,$S$69&lt;&gt;"GOED")),VLOOKUP("3."&amp;AA114,$AA$80:$AH$94,8),""))</f>
        <v/>
      </c>
      <c r="AI114" s="847"/>
      <c r="AJ114" s="847"/>
      <c r="AK114" s="847"/>
      <c r="AL114" s="847"/>
    </row>
    <row r="115" spans="27:38" x14ac:dyDescent="0.25">
      <c r="AA115" s="848" t="str">
        <f>RIGHT(IF(Y81="x","","0")&amp;Y81,2)</f>
        <v>03</v>
      </c>
      <c r="AB115" s="849" t="str">
        <f>IF(AA115="X","n.v.t.",VLOOKUP("3."&amp;AA115,$AA$80:$AB$94,2))</f>
        <v>5 van de 6 groepswinnaar door</v>
      </c>
      <c r="AC115" s="848"/>
      <c r="AD115" s="848"/>
      <c r="AE115" s="405" t="str">
        <f ca="1">IF(AA115="x","",IF(OR($O$93=1,AND($O$93=2,$S$53&lt;&gt;"GOED")),VLOOKUP("3."&amp;AA115,$AA$80:$AG$94,5),""))</f>
        <v>onvoldoende gegevens voor suggestie</v>
      </c>
      <c r="AF115" s="406"/>
      <c r="AG115" s="407"/>
      <c r="AH115" s="940" t="str">
        <f ca="1">IF(AA115="x","n.v.t.",IF(OR($O$93=1,AND($O$93=2,$S$69&lt;&gt;"GOED")),VLOOKUP("3."&amp;AA115,$AA$80:$AH$94,8),""))</f>
        <v/>
      </c>
      <c r="AI115" s="848"/>
      <c r="AJ115" s="848"/>
      <c r="AK115" s="848"/>
      <c r="AL115" s="848"/>
    </row>
    <row r="116" spans="27:38" x14ac:dyDescent="0.25">
      <c r="AA116" s="848" t="str">
        <f>RIGHT(IF(Y82="x","","0")&amp;Y82,2)</f>
        <v>11</v>
      </c>
      <c r="AB116" s="849" t="str">
        <f>IF(AA116="X","n.v.t.",VLOOKUP("3."&amp;AA116,$AA$80:$AB$94,2))</f>
        <v>hattrick tijdens toernooi</v>
      </c>
      <c r="AC116" s="848"/>
      <c r="AD116" s="848"/>
      <c r="AE116" s="405" t="str">
        <f ca="1">IF(AA116="x","",IF(OR($O$93=1,AND($O$93=2,$S$53&lt;&gt;"GOED")),VLOOKUP("3."&amp;AA116,$AA$80:$AG$94,5),""))</f>
        <v>geen suggestie mogelijk</v>
      </c>
      <c r="AF116" s="406"/>
      <c r="AG116" s="407"/>
      <c r="AH116" s="940" t="str">
        <f ca="1">IF(AA116="x","n.v.t.",IF(OR($O$93=1,AND($O$93=2,$S$69&lt;&gt;"GOED")),VLOOKUP("3."&amp;AA116,$AA$80:$AH$94,8),""))</f>
        <v/>
      </c>
      <c r="AI116" s="848"/>
      <c r="AJ116" s="848"/>
      <c r="AK116" s="848"/>
      <c r="AL116" s="848"/>
    </row>
    <row r="117" spans="27:38" x14ac:dyDescent="0.25">
      <c r="AA117" s="848" t="str">
        <f>RIGHT(IF(Y83="x","","0")&amp;Y83,2)</f>
        <v>12</v>
      </c>
      <c r="AB117" s="849" t="str">
        <f>IF(AA117="X","n.v.t.",VLOOKUP("3."&amp;AA117,$AA$80:$AB$94,2))</f>
        <v>elk land soort</v>
      </c>
      <c r="AC117" s="848"/>
      <c r="AD117" s="848"/>
      <c r="AE117" s="405" t="str">
        <f ca="1">IF(AA117="x","",IF(OR($O$93=1,AND($O$93=2,$S$53&lt;&gt;"GOED")),VLOOKUP("3."&amp;AA117,$AA$80:$AG$94,5),""))</f>
        <v>geen suggestie mogelijk</v>
      </c>
      <c r="AF117" s="406"/>
      <c r="AG117" s="407"/>
      <c r="AH117" s="940" t="str">
        <f ca="1">IF(AA117="x","n.v.t.",IF(OR($O$93=1,AND($O$93=2,$S$69&lt;&gt;"GOED")),VLOOKUP("3."&amp;AA117,$AA$80:$AH$94,8),""))</f>
        <v/>
      </c>
      <c r="AI117" s="848"/>
      <c r="AJ117" s="848"/>
      <c r="AK117" s="848"/>
      <c r="AL117" s="848"/>
    </row>
    <row r="118" spans="27:38" x14ac:dyDescent="0.25">
      <c r="AA118" s="848" t="str">
        <f>RIGHT(IF(Y84="x","","0")&amp;Y84,2)</f>
        <v>15</v>
      </c>
      <c r="AB118" s="849" t="str">
        <f>IF(AA118="X","n.v.t.",VLOOKUP("3."&amp;AA118,$AA$80:$AB$94,2))</f>
        <v>2 wedstrijden zonder kaarten</v>
      </c>
      <c r="AC118" s="848"/>
      <c r="AD118" s="848"/>
      <c r="AE118" s="405" t="str">
        <f ca="1">IF(AA118="x","",IF(OR($O$93=1,AND($O$93=2,$S$53&lt;&gt;"GOED")),VLOOKUP("3."&amp;AA118,$AA$80:$AG$94,5),""))</f>
        <v>geen suggestie mogelijk</v>
      </c>
      <c r="AF118" s="406"/>
      <c r="AG118" s="407"/>
      <c r="AH118" s="940" t="str">
        <f ca="1">IF(AA118="x","n.v.t.",IF(OR($O$93=1,AND($O$93=2,$S$69&lt;&gt;"GOED")),VLOOKUP("3."&amp;AA118,$AA$80:$AH$94,8),""))</f>
        <v/>
      </c>
      <c r="AI118" s="848"/>
      <c r="AJ118" s="848"/>
      <c r="AK118" s="946" t="str">
        <f>REPT("─",16)</f>
        <v>────────────────</v>
      </c>
      <c r="AL118" s="947" t="s">
        <v>1964</v>
      </c>
    </row>
    <row r="119" spans="27:38" x14ac:dyDescent="0.25">
      <c r="AA119" s="848"/>
      <c r="AB119" s="848"/>
      <c r="AC119" s="848"/>
      <c r="AD119" s="848"/>
      <c r="AE119" s="848"/>
      <c r="AF119" s="848"/>
      <c r="AG119" s="848"/>
      <c r="AH119" s="848"/>
      <c r="AI119" s="848"/>
      <c r="AJ119" s="848"/>
      <c r="AK119" s="948" t="str">
        <f>""</f>
        <v/>
      </c>
      <c r="AL119" s="949" t="s">
        <v>1965</v>
      </c>
    </row>
    <row r="121" spans="27:38" ht="15.75" x14ac:dyDescent="0.25">
      <c r="AA121" s="753" t="s">
        <v>933</v>
      </c>
      <c r="AB121" s="748"/>
      <c r="AC121" s="727"/>
      <c r="AD121" s="728"/>
      <c r="AE121" s="727"/>
      <c r="AF121" s="728"/>
      <c r="AG121" s="727"/>
      <c r="AH121" s="728"/>
      <c r="AI121" s="727"/>
      <c r="AJ121" s="728"/>
      <c r="AK121" s="729"/>
      <c r="AL121" s="1110" t="s">
        <v>2561</v>
      </c>
    </row>
    <row r="122" spans="27:38" x14ac:dyDescent="0.25">
      <c r="AA122" s="749" t="str">
        <f ca="1">Voorblad!AA67</f>
        <v>B4</v>
      </c>
      <c r="AB122" s="750"/>
      <c r="AC122" s="730" t="str">
        <f ca="1">IF(AD122=$AL$118,$AK$118,IF(AD122=$AL$119,$AK$119,VLOOKUP(AD122,Voorblad!$X$67:$Z$98,2,FALSE)))&amp;IF(AND(AD122&lt;&gt;$AL$118,AD122&lt;&gt;$AL$119),IF(VLOOKUP(AD122,$AA$5:$AI$36,6,FALSE)&gt;0," ("&amp;VLOOKUP(AD122,$AA$5:$AI$36,6,FALSE)&amp;")",""),"")</f>
        <v>Albanië</v>
      </c>
      <c r="AD122" s="731" t="str">
        <f ca="1">RIGHT(LEFT(IF($AE$100=$S$87,$C$98,$AI$41),$AK122),2)</f>
        <v>B4</v>
      </c>
      <c r="AE122" s="730" t="str">
        <f ca="1">IF(AF122=$AL$118,$AK$118,IF(AF122=$AL$119,$AK$119,VLOOKUP(AF122,Voorblad!$X$67:$Z$98,2,FALSE)))&amp;IF(AND(AF122&lt;&gt;$AL$118,AF122&lt;&gt;$AL$119),IF(VLOOKUP(AF122,$AA$5:$AI$36,9,FALSE)&gt;0," ("&amp;VLOOKUP(AF122,$AA$5:$AI$36,9,FALSE)&amp;")",""),"")</f>
        <v>Albanië</v>
      </c>
      <c r="AF122" s="731" t="str">
        <f ca="1">RIGHT(LEFT(IF($AE$101=$S$87,$C$98,$AI$42),$AK122),2)</f>
        <v>B4</v>
      </c>
      <c r="AG122" s="730" t="str">
        <f ca="1">IF(AH122=$AL$118,$AK$118,IF(AH122=$AL$119,$AK$119,VLOOKUP(AH122,Voorblad!$X$67:$Z$98,2,FALSE)))</f>
        <v>Albanië</v>
      </c>
      <c r="AH122" s="731" t="str">
        <f t="shared" ref="AH122:AH153" ca="1" si="9">RIGHT(LEFT($C$98,$AK122),2)</f>
        <v>B4</v>
      </c>
      <c r="AI122" s="730"/>
      <c r="AJ122" s="731"/>
      <c r="AK122" s="732">
        <v>2</v>
      </c>
      <c r="AL122" s="1110" t="s">
        <v>1108</v>
      </c>
    </row>
    <row r="123" spans="27:38" x14ac:dyDescent="0.25">
      <c r="AA123" s="749" t="str">
        <f ca="1">Voorblad!AA68</f>
        <v>E1</v>
      </c>
      <c r="AB123" s="750"/>
      <c r="AC123" s="730" t="str">
        <f ca="1">IF(AD123=$AL$118,$AK$118,IF(AD123=$AL$119,$AK$119,VLOOKUP(AD123,Voorblad!$X$67:$Z$98,2,FALSE)))&amp;IF(AND(AD123&lt;&gt;$AL$118,AD123&lt;&gt;$AL$119),IF(VLOOKUP(AD123,$AA$5:$AI$36,6,FALSE)&gt;0," ("&amp;VLOOKUP(AD123,$AA$5:$AI$36,6,FALSE)&amp;")",""),"")</f>
        <v>België</v>
      </c>
      <c r="AD123" s="731" t="str">
        <f t="shared" ref="AD123:AD154" ca="1" si="10">RIGHT(LEFT(IF($AE$100=$S$87,$C$98,$AI$41),$AK123),2)</f>
        <v>E1</v>
      </c>
      <c r="AE123" s="730" t="str">
        <f ca="1">IF(AF123=$AL$118,$AK$118,IF(AF123=$AL$119,$AK$119,VLOOKUP(AF123,Voorblad!$X$67:$Z$98,2,FALSE)))&amp;IF(AND(AF123&lt;&gt;$AL$118,AF123&lt;&gt;$AL$119),IF(VLOOKUP(AF123,$AA$5:$AI$36,9,FALSE)&gt;0," ("&amp;VLOOKUP(AF123,$AA$5:$AI$36,9,FALSE)&amp;")",""),"")</f>
        <v>België</v>
      </c>
      <c r="AF123" s="731" t="str">
        <f t="shared" ref="AF123:AF154" ca="1" si="11">RIGHT(LEFT(IF($AE$101=$S$87,$C$98,$AI$42),$AK123),2)</f>
        <v>E1</v>
      </c>
      <c r="AG123" s="730" t="str">
        <f ca="1">IF(AH123=$AL$118,$AK$118,IF(AH123=$AL$119,$AK$119,VLOOKUP(AH123,Voorblad!$X$67:$Z$98,2,FALSE)))</f>
        <v>België</v>
      </c>
      <c r="AH123" s="731" t="str">
        <f t="shared" ca="1" si="9"/>
        <v>E1</v>
      </c>
      <c r="AI123" s="730"/>
      <c r="AJ123" s="731"/>
      <c r="AK123" s="733">
        <f t="shared" ref="AK123:AK154" si="12">AK122+2</f>
        <v>4</v>
      </c>
      <c r="AL123" s="1109">
        <f>Deelnamecode!Y56</f>
        <v>24</v>
      </c>
    </row>
    <row r="124" spans="27:38" x14ac:dyDescent="0.25">
      <c r="AA124" s="749" t="str">
        <f ca="1">Voorblad!AA69</f>
        <v>C2</v>
      </c>
      <c r="AB124" s="750"/>
      <c r="AC124" s="730" t="str">
        <f ca="1">IF(AD124=$AL$118,$AK$118,IF(AD124=$AL$119,$AK$119,VLOOKUP(AD124,Voorblad!$X$67:$Z$98,2,FALSE)))&amp;IF(AND(AD124&lt;&gt;$AL$118,AD124&lt;&gt;$AL$119),IF(VLOOKUP(AD124,$AA$5:$AI$36,6,FALSE)&gt;0," ("&amp;VLOOKUP(AD124,$AA$5:$AI$36,6,FALSE)&amp;")",""),"")</f>
        <v>Denemarken</v>
      </c>
      <c r="AD124" s="731" t="str">
        <f t="shared" ca="1" si="10"/>
        <v>C2</v>
      </c>
      <c r="AE124" s="730" t="str">
        <f ca="1">IF(AF124=$AL$118,$AK$118,IF(AF124=$AL$119,$AK$119,VLOOKUP(AF124,Voorblad!$X$67:$Z$98,2,FALSE)))&amp;IF(AND(AF124&lt;&gt;$AL$118,AF124&lt;&gt;$AL$119),IF(VLOOKUP(AF124,$AA$5:$AI$36,9,FALSE)&gt;0," ("&amp;VLOOKUP(AF124,$AA$5:$AI$36,9,FALSE)&amp;")",""),"")</f>
        <v>Denemarken</v>
      </c>
      <c r="AF124" s="731" t="str">
        <f t="shared" ca="1" si="11"/>
        <v>C2</v>
      </c>
      <c r="AG124" s="730" t="str">
        <f ca="1">IF(AH124=$AL$118,$AK$118,IF(AH124=$AL$119,$AK$119,VLOOKUP(AH124,Voorblad!$X$67:$Z$98,2,FALSE)))</f>
        <v>Denemarken</v>
      </c>
      <c r="AH124" s="731" t="str">
        <f t="shared" ca="1" si="9"/>
        <v>C2</v>
      </c>
      <c r="AI124" s="730"/>
      <c r="AJ124" s="731"/>
      <c r="AK124" s="733">
        <f t="shared" si="12"/>
        <v>6</v>
      </c>
      <c r="AL124" s="808"/>
    </row>
    <row r="125" spans="27:38" x14ac:dyDescent="0.25">
      <c r="AA125" s="749" t="str">
        <f ca="1">Voorblad!AA70</f>
        <v>A1</v>
      </c>
      <c r="AB125" s="750"/>
      <c r="AC125" s="730" t="str">
        <f ca="1">IF(AD125=$AL$118,$AK$118,IF(AD125=$AL$119,$AK$119,VLOOKUP(AD125,Voorblad!$X$67:$Z$98,2,FALSE)))&amp;IF(AND(AD125&lt;&gt;$AL$118,AD125&lt;&gt;$AL$119),IF(VLOOKUP(AD125,$AA$5:$AI$36,6,FALSE)&gt;0," ("&amp;VLOOKUP(AD125,$AA$5:$AI$36,6,FALSE)&amp;")",""),"")</f>
        <v>Duitsland</v>
      </c>
      <c r="AD125" s="731" t="str">
        <f t="shared" ca="1" si="10"/>
        <v>A1</v>
      </c>
      <c r="AE125" s="730" t="str">
        <f ca="1">IF(AF125=$AL$118,$AK$118,IF(AF125=$AL$119,$AK$119,VLOOKUP(AF125,Voorblad!$X$67:$Z$98,2,FALSE)))&amp;IF(AND(AF125&lt;&gt;$AL$118,AF125&lt;&gt;$AL$119),IF(VLOOKUP(AF125,$AA$5:$AI$36,9,FALSE)&gt;0," ("&amp;VLOOKUP(AF125,$AA$5:$AI$36,9,FALSE)&amp;")",""),"")</f>
        <v>Duitsland</v>
      </c>
      <c r="AF125" s="731" t="str">
        <f t="shared" ca="1" si="11"/>
        <v>A1</v>
      </c>
      <c r="AG125" s="730" t="str">
        <f ca="1">IF(AH125=$AL$118,$AK$118,IF(AH125=$AL$119,$AK$119,VLOOKUP(AH125,Voorblad!$X$67:$Z$98,2,FALSE)))</f>
        <v>Duitsland</v>
      </c>
      <c r="AH125" s="731" t="str">
        <f t="shared" ca="1" si="9"/>
        <v>A1</v>
      </c>
      <c r="AI125" s="730"/>
      <c r="AJ125" s="731"/>
      <c r="AK125" s="733">
        <f t="shared" si="12"/>
        <v>8</v>
      </c>
      <c r="AL125" s="808"/>
    </row>
    <row r="126" spans="27:38" x14ac:dyDescent="0.25">
      <c r="AA126" s="749" t="str">
        <f ca="1">Voorblad!AA71</f>
        <v>C4</v>
      </c>
      <c r="AB126" s="750"/>
      <c r="AC126" s="730" t="str">
        <f ca="1">IF(AD126=$AL$118,$AK$118,IF(AD126=$AL$119,$AK$119,VLOOKUP(AD126,Voorblad!$X$67:$Z$98,2,FALSE)))&amp;IF(AND(AD126&lt;&gt;$AL$118,AD126&lt;&gt;$AL$119),IF(VLOOKUP(AD126,$AA$5:$AI$36,6,FALSE)&gt;0," ("&amp;VLOOKUP(AD126,$AA$5:$AI$36,6,FALSE)&amp;")",""),"")</f>
        <v>Engeland</v>
      </c>
      <c r="AD126" s="731" t="str">
        <f t="shared" ca="1" si="10"/>
        <v>C4</v>
      </c>
      <c r="AE126" s="730" t="str">
        <f ca="1">IF(AF126=$AL$118,$AK$118,IF(AF126=$AL$119,$AK$119,VLOOKUP(AF126,Voorblad!$X$67:$Z$98,2,FALSE)))&amp;IF(AND(AF126&lt;&gt;$AL$118,AF126&lt;&gt;$AL$119),IF(VLOOKUP(AF126,$AA$5:$AI$36,9,FALSE)&gt;0," ("&amp;VLOOKUP(AF126,$AA$5:$AI$36,9,FALSE)&amp;")",""),"")</f>
        <v>Engeland</v>
      </c>
      <c r="AF126" s="731" t="str">
        <f t="shared" ca="1" si="11"/>
        <v>C4</v>
      </c>
      <c r="AG126" s="730" t="str">
        <f ca="1">IF(AH126=$AL$118,$AK$118,IF(AH126=$AL$119,$AK$119,VLOOKUP(AH126,Voorblad!$X$67:$Z$98,2,FALSE)))</f>
        <v>Engeland</v>
      </c>
      <c r="AH126" s="731" t="str">
        <f t="shared" ca="1" si="9"/>
        <v>C4</v>
      </c>
      <c r="AI126" s="730"/>
      <c r="AJ126" s="731"/>
      <c r="AK126" s="733">
        <f t="shared" si="12"/>
        <v>10</v>
      </c>
      <c r="AL126" s="808"/>
    </row>
    <row r="127" spans="27:38" x14ac:dyDescent="0.25">
      <c r="AA127" s="749" t="str">
        <f ca="1">Voorblad!AA72</f>
        <v>D4</v>
      </c>
      <c r="AB127" s="750"/>
      <c r="AC127" s="730" t="str">
        <f ca="1">IF(AD127=$AL$118,$AK$118,IF(AD127=$AL$119,$AK$119,VLOOKUP(AD127,Voorblad!$X$67:$Z$98,2,FALSE)))&amp;IF(AND(AD127&lt;&gt;$AL$118,AD127&lt;&gt;$AL$119),IF(VLOOKUP(AD127,$AA$5:$AI$36,6,FALSE)&gt;0," ("&amp;VLOOKUP(AD127,$AA$5:$AI$36,6,FALSE)&amp;")",""),"")</f>
        <v>Frankrijk</v>
      </c>
      <c r="AD127" s="731" t="str">
        <f t="shared" ca="1" si="10"/>
        <v>D4</v>
      </c>
      <c r="AE127" s="730" t="str">
        <f ca="1">IF(AF127=$AL$118,$AK$118,IF(AF127=$AL$119,$AK$119,VLOOKUP(AF127,Voorblad!$X$67:$Z$98,2,FALSE)))&amp;IF(AND(AF127&lt;&gt;$AL$118,AF127&lt;&gt;$AL$119),IF(VLOOKUP(AF127,$AA$5:$AI$36,9,FALSE)&gt;0," ("&amp;VLOOKUP(AF127,$AA$5:$AI$36,9,FALSE)&amp;")",""),"")</f>
        <v>Frankrijk</v>
      </c>
      <c r="AF127" s="731" t="str">
        <f t="shared" ca="1" si="11"/>
        <v>D4</v>
      </c>
      <c r="AG127" s="730" t="str">
        <f ca="1">IF(AH127=$AL$118,$AK$118,IF(AH127=$AL$119,$AK$119,VLOOKUP(AH127,Voorblad!$X$67:$Z$98,2,FALSE)))</f>
        <v>Frankrijk</v>
      </c>
      <c r="AH127" s="731" t="str">
        <f t="shared" ca="1" si="9"/>
        <v>D4</v>
      </c>
      <c r="AI127" s="730"/>
      <c r="AJ127" s="731"/>
      <c r="AK127" s="733">
        <f t="shared" si="12"/>
        <v>12</v>
      </c>
      <c r="AL127" s="808"/>
    </row>
    <row r="128" spans="27:38" x14ac:dyDescent="0.25">
      <c r="AA128" s="749" t="str">
        <f ca="1">Voorblad!AA73</f>
        <v>F2</v>
      </c>
      <c r="AB128" s="750"/>
      <c r="AC128" s="730" t="str">
        <f ca="1">IF(AD128=$AL$118,$AK$118,IF(AD128=$AL$119,$AK$119,VLOOKUP(AD128,Voorblad!$X$67:$Z$98,2,FALSE)))&amp;IF(AND(AD128&lt;&gt;$AL$118,AD128&lt;&gt;$AL$119),IF(VLOOKUP(AD128,$AA$5:$AI$36,6,FALSE)&gt;0," ("&amp;VLOOKUP(AD128,$AA$5:$AI$36,6,FALSE)&amp;")",""),"")</f>
        <v>Georgië</v>
      </c>
      <c r="AD128" s="731" t="str">
        <f t="shared" ca="1" si="10"/>
        <v>F2</v>
      </c>
      <c r="AE128" s="730" t="str">
        <f ca="1">IF(AF128=$AL$118,$AK$118,IF(AF128=$AL$119,$AK$119,VLOOKUP(AF128,Voorblad!$X$67:$Z$98,2,FALSE)))&amp;IF(AND(AF128&lt;&gt;$AL$118,AF128&lt;&gt;$AL$119),IF(VLOOKUP(AF128,$AA$5:$AI$36,9,FALSE)&gt;0," ("&amp;VLOOKUP(AF128,$AA$5:$AI$36,9,FALSE)&amp;")",""),"")</f>
        <v>Georgië</v>
      </c>
      <c r="AF128" s="731" t="str">
        <f t="shared" ca="1" si="11"/>
        <v>F2</v>
      </c>
      <c r="AG128" s="730" t="str">
        <f ca="1">IF(AH128=$AL$118,$AK$118,IF(AH128=$AL$119,$AK$119,VLOOKUP(AH128,Voorblad!$X$67:$Z$98,2,FALSE)))</f>
        <v>Georgië</v>
      </c>
      <c r="AH128" s="731" t="str">
        <f t="shared" ca="1" si="9"/>
        <v>F2</v>
      </c>
      <c r="AI128" s="730"/>
      <c r="AJ128" s="731"/>
      <c r="AK128" s="733">
        <f t="shared" si="12"/>
        <v>14</v>
      </c>
      <c r="AL128" s="808"/>
    </row>
    <row r="129" spans="27:38" x14ac:dyDescent="0.25">
      <c r="AA129" s="749" t="str">
        <f ca="1">Voorblad!AA74</f>
        <v>A3</v>
      </c>
      <c r="AB129" s="750"/>
      <c r="AC129" s="730" t="str">
        <f ca="1">IF(AD129=$AL$118,$AK$118,IF(AD129=$AL$119,$AK$119,VLOOKUP(AD129,Voorblad!$X$67:$Z$98,2,FALSE)))&amp;IF(AND(AD129&lt;&gt;$AL$118,AD129&lt;&gt;$AL$119),IF(VLOOKUP(AD129,$AA$5:$AI$36,6,FALSE)&gt;0," ("&amp;VLOOKUP(AD129,$AA$5:$AI$36,6,FALSE)&amp;")",""),"")</f>
        <v>Hongarije</v>
      </c>
      <c r="AD129" s="731" t="str">
        <f t="shared" ca="1" si="10"/>
        <v>A3</v>
      </c>
      <c r="AE129" s="730" t="str">
        <f ca="1">IF(AF129=$AL$118,$AK$118,IF(AF129=$AL$119,$AK$119,VLOOKUP(AF129,Voorblad!$X$67:$Z$98,2,FALSE)))&amp;IF(AND(AF129&lt;&gt;$AL$118,AF129&lt;&gt;$AL$119),IF(VLOOKUP(AF129,$AA$5:$AI$36,9,FALSE)&gt;0," ("&amp;VLOOKUP(AF129,$AA$5:$AI$36,9,FALSE)&amp;")",""),"")</f>
        <v>Hongarije</v>
      </c>
      <c r="AF129" s="731" t="str">
        <f t="shared" ca="1" si="11"/>
        <v>A3</v>
      </c>
      <c r="AG129" s="730" t="str">
        <f ca="1">IF(AH129=$AL$118,$AK$118,IF(AH129=$AL$119,$AK$119,VLOOKUP(AH129,Voorblad!$X$67:$Z$98,2,FALSE)))</f>
        <v>Hongarije</v>
      </c>
      <c r="AH129" s="731" t="str">
        <f t="shared" ca="1" si="9"/>
        <v>A3</v>
      </c>
      <c r="AI129" s="730"/>
      <c r="AJ129" s="731"/>
      <c r="AK129" s="733">
        <f t="shared" si="12"/>
        <v>16</v>
      </c>
      <c r="AL129" s="808"/>
    </row>
    <row r="130" spans="27:38" x14ac:dyDescent="0.25">
      <c r="AA130" s="749" t="str">
        <f ca="1">Voorblad!AA75</f>
        <v>B3</v>
      </c>
      <c r="AB130" s="750"/>
      <c r="AC130" s="730" t="str">
        <f ca="1">IF(AD130=$AL$118,$AK$118,IF(AD130=$AL$119,$AK$119,VLOOKUP(AD130,Voorblad!$X$67:$Z$98,2,FALSE)))&amp;IF(AND(AD130&lt;&gt;$AL$118,AD130&lt;&gt;$AL$119),IF(VLOOKUP(AD130,$AA$5:$AI$36,6,FALSE)&gt;0," ("&amp;VLOOKUP(AD130,$AA$5:$AI$36,6,FALSE)&amp;")",""),"")</f>
        <v>Italië</v>
      </c>
      <c r="AD130" s="731" t="str">
        <f t="shared" ca="1" si="10"/>
        <v>B3</v>
      </c>
      <c r="AE130" s="730" t="str">
        <f ca="1">IF(AF130=$AL$118,$AK$118,IF(AF130=$AL$119,$AK$119,VLOOKUP(AF130,Voorblad!$X$67:$Z$98,2,FALSE)))&amp;IF(AND(AF130&lt;&gt;$AL$118,AF130&lt;&gt;$AL$119),IF(VLOOKUP(AF130,$AA$5:$AI$36,9,FALSE)&gt;0," ("&amp;VLOOKUP(AF130,$AA$5:$AI$36,9,FALSE)&amp;")",""),"")</f>
        <v>Italië</v>
      </c>
      <c r="AF130" s="731" t="str">
        <f t="shared" ca="1" si="11"/>
        <v>B3</v>
      </c>
      <c r="AG130" s="730" t="str">
        <f ca="1">IF(AH130=$AL$118,$AK$118,IF(AH130=$AL$119,$AK$119,VLOOKUP(AH130,Voorblad!$X$67:$Z$98,2,FALSE)))</f>
        <v>Italië</v>
      </c>
      <c r="AH130" s="731" t="str">
        <f t="shared" ca="1" si="9"/>
        <v>B3</v>
      </c>
      <c r="AI130" s="730"/>
      <c r="AJ130" s="731"/>
      <c r="AK130" s="733">
        <f t="shared" si="12"/>
        <v>18</v>
      </c>
      <c r="AL130" s="808"/>
    </row>
    <row r="131" spans="27:38" x14ac:dyDescent="0.25">
      <c r="AA131" s="749" t="str">
        <f ca="1">Voorblad!AA76</f>
        <v>B2</v>
      </c>
      <c r="AB131" s="750"/>
      <c r="AC131" s="730" t="str">
        <f ca="1">IF(AD131=$AL$118,$AK$118,IF(AD131=$AL$119,$AK$119,VLOOKUP(AD131,Voorblad!$X$67:$Z$98,2,FALSE)))&amp;IF(AND(AD131&lt;&gt;$AL$118,AD131&lt;&gt;$AL$119),IF(VLOOKUP(AD131,$AA$5:$AI$36,6,FALSE)&gt;0," ("&amp;VLOOKUP(AD131,$AA$5:$AI$36,6,FALSE)&amp;")",""),"")</f>
        <v>Kroatië</v>
      </c>
      <c r="AD131" s="731" t="str">
        <f t="shared" ca="1" si="10"/>
        <v>B2</v>
      </c>
      <c r="AE131" s="730" t="str">
        <f ca="1">IF(AF131=$AL$118,$AK$118,IF(AF131=$AL$119,$AK$119,VLOOKUP(AF131,Voorblad!$X$67:$Z$98,2,FALSE)))&amp;IF(AND(AF131&lt;&gt;$AL$118,AF131&lt;&gt;$AL$119),IF(VLOOKUP(AF131,$AA$5:$AI$36,9,FALSE)&gt;0," ("&amp;VLOOKUP(AF131,$AA$5:$AI$36,9,FALSE)&amp;")",""),"")</f>
        <v>Kroatië</v>
      </c>
      <c r="AF131" s="731" t="str">
        <f t="shared" ca="1" si="11"/>
        <v>B2</v>
      </c>
      <c r="AG131" s="730" t="str">
        <f ca="1">IF(AH131=$AL$118,$AK$118,IF(AH131=$AL$119,$AK$119,VLOOKUP(AH131,Voorblad!$X$67:$Z$98,2,FALSE)))</f>
        <v>Kroatië</v>
      </c>
      <c r="AH131" s="731" t="str">
        <f t="shared" ca="1" si="9"/>
        <v>B2</v>
      </c>
      <c r="AI131" s="730"/>
      <c r="AJ131" s="731"/>
      <c r="AK131" s="733">
        <f t="shared" si="12"/>
        <v>20</v>
      </c>
      <c r="AL131" s="808"/>
    </row>
    <row r="132" spans="27:38" x14ac:dyDescent="0.25">
      <c r="AA132" s="749" t="str">
        <f ca="1">Voorblad!AA77</f>
        <v>D2</v>
      </c>
      <c r="AB132" s="750"/>
      <c r="AC132" s="730" t="str">
        <f ca="1">IF(AD132=$AL$118,$AK$118,IF(AD132=$AL$119,$AK$119,VLOOKUP(AD132,Voorblad!$X$67:$Z$98,2,FALSE)))&amp;IF(AND(AD132&lt;&gt;$AL$118,AD132&lt;&gt;$AL$119),IF(VLOOKUP(AD132,$AA$5:$AI$36,6,FALSE)&gt;0," ("&amp;VLOOKUP(AD132,$AA$5:$AI$36,6,FALSE)&amp;")",""),"")</f>
        <v>Nederland</v>
      </c>
      <c r="AD132" s="731" t="str">
        <f t="shared" ca="1" si="10"/>
        <v>D2</v>
      </c>
      <c r="AE132" s="730" t="str">
        <f ca="1">IF(AF132=$AL$118,$AK$118,IF(AF132=$AL$119,$AK$119,VLOOKUP(AF132,Voorblad!$X$67:$Z$98,2,FALSE)))&amp;IF(AND(AF132&lt;&gt;$AL$118,AF132&lt;&gt;$AL$119),IF(VLOOKUP(AF132,$AA$5:$AI$36,9,FALSE)&gt;0," ("&amp;VLOOKUP(AF132,$AA$5:$AI$36,9,FALSE)&amp;")",""),"")</f>
        <v>Nederland</v>
      </c>
      <c r="AF132" s="731" t="str">
        <f t="shared" ca="1" si="11"/>
        <v>D2</v>
      </c>
      <c r="AG132" s="730" t="str">
        <f ca="1">IF(AH132=$AL$118,$AK$118,IF(AH132=$AL$119,$AK$119,VLOOKUP(AH132,Voorblad!$X$67:$Z$98,2,FALSE)))</f>
        <v>Nederland</v>
      </c>
      <c r="AH132" s="731" t="str">
        <f t="shared" ca="1" si="9"/>
        <v>D2</v>
      </c>
      <c r="AI132" s="730"/>
      <c r="AJ132" s="731"/>
      <c r="AK132" s="733">
        <f t="shared" si="12"/>
        <v>22</v>
      </c>
      <c r="AL132" s="808"/>
    </row>
    <row r="133" spans="27:38" x14ac:dyDescent="0.25">
      <c r="AA133" s="749" t="str">
        <f ca="1">Voorblad!AA78</f>
        <v>E4</v>
      </c>
      <c r="AB133" s="750"/>
      <c r="AC133" s="730" t="str">
        <f ca="1">IF(AD133=$AL$118,$AK$118,IF(AD133=$AL$119,$AK$119,VLOOKUP(AD133,Voorblad!$X$67:$Z$98,2,FALSE)))&amp;IF(AND(AD133&lt;&gt;$AL$118,AD133&lt;&gt;$AL$119),IF(VLOOKUP(AD133,$AA$5:$AI$36,6,FALSE)&gt;0," ("&amp;VLOOKUP(AD133,$AA$5:$AI$36,6,FALSE)&amp;")",""),"")</f>
        <v>Oekraïne</v>
      </c>
      <c r="AD133" s="731" t="str">
        <f t="shared" ca="1" si="10"/>
        <v>E4</v>
      </c>
      <c r="AE133" s="730" t="str">
        <f ca="1">IF(AF133=$AL$118,$AK$118,IF(AF133=$AL$119,$AK$119,VLOOKUP(AF133,Voorblad!$X$67:$Z$98,2,FALSE)))&amp;IF(AND(AF133&lt;&gt;$AL$118,AF133&lt;&gt;$AL$119),IF(VLOOKUP(AF133,$AA$5:$AI$36,9,FALSE)&gt;0," ("&amp;VLOOKUP(AF133,$AA$5:$AI$36,9,FALSE)&amp;")",""),"")</f>
        <v>Oekraïne</v>
      </c>
      <c r="AF133" s="731" t="str">
        <f t="shared" ca="1" si="11"/>
        <v>E4</v>
      </c>
      <c r="AG133" s="730" t="str">
        <f ca="1">IF(AH133=$AL$118,$AK$118,IF(AH133=$AL$119,$AK$119,VLOOKUP(AH133,Voorblad!$X$67:$Z$98,2,FALSE)))</f>
        <v>Oekraïne</v>
      </c>
      <c r="AH133" s="731" t="str">
        <f t="shared" ca="1" si="9"/>
        <v>E4</v>
      </c>
      <c r="AI133" s="730"/>
      <c r="AJ133" s="731"/>
      <c r="AK133" s="733">
        <f t="shared" si="12"/>
        <v>24</v>
      </c>
      <c r="AL133" s="808"/>
    </row>
    <row r="134" spans="27:38" x14ac:dyDescent="0.25">
      <c r="AA134" s="749" t="str">
        <f ca="1">Voorblad!AA79</f>
        <v>D3</v>
      </c>
      <c r="AB134" s="750"/>
      <c r="AC134" s="730" t="str">
        <f ca="1">IF(AD134=$AL$118,$AK$118,IF(AD134=$AL$119,$AK$119,VLOOKUP(AD134,Voorblad!$X$67:$Z$98,2,FALSE)))&amp;IF(AND(AD134&lt;&gt;$AL$118,AD134&lt;&gt;$AL$119),IF(VLOOKUP(AD134,$AA$5:$AI$36,6,FALSE)&gt;0," ("&amp;VLOOKUP(AD134,$AA$5:$AI$36,6,FALSE)&amp;")",""),"")</f>
        <v>Oostenrijk</v>
      </c>
      <c r="AD134" s="731" t="str">
        <f t="shared" ca="1" si="10"/>
        <v>D3</v>
      </c>
      <c r="AE134" s="730" t="str">
        <f ca="1">IF(AF134=$AL$118,$AK$118,IF(AF134=$AL$119,$AK$119,VLOOKUP(AF134,Voorblad!$X$67:$Z$98,2,FALSE)))&amp;IF(AND(AF134&lt;&gt;$AL$118,AF134&lt;&gt;$AL$119),IF(VLOOKUP(AF134,$AA$5:$AI$36,9,FALSE)&gt;0," ("&amp;VLOOKUP(AF134,$AA$5:$AI$36,9,FALSE)&amp;")",""),"")</f>
        <v>Oostenrijk</v>
      </c>
      <c r="AF134" s="731" t="str">
        <f t="shared" ca="1" si="11"/>
        <v>D3</v>
      </c>
      <c r="AG134" s="730" t="str">
        <f ca="1">IF(AH134=$AL$118,$AK$118,IF(AH134=$AL$119,$AK$119,VLOOKUP(AH134,Voorblad!$X$67:$Z$98,2,FALSE)))</f>
        <v>Oostenrijk</v>
      </c>
      <c r="AH134" s="731" t="str">
        <f t="shared" ca="1" si="9"/>
        <v>D3</v>
      </c>
      <c r="AI134" s="730"/>
      <c r="AJ134" s="731"/>
      <c r="AK134" s="733">
        <f t="shared" si="12"/>
        <v>26</v>
      </c>
      <c r="AL134" s="808"/>
    </row>
    <row r="135" spans="27:38" x14ac:dyDescent="0.25">
      <c r="AA135" s="749" t="str">
        <f ca="1">Voorblad!AA80</f>
        <v>D1</v>
      </c>
      <c r="AB135" s="750"/>
      <c r="AC135" s="730" t="str">
        <f ca="1">IF(AD135=$AL$118,$AK$118,IF(AD135=$AL$119,$AK$119,VLOOKUP(AD135,Voorblad!$X$67:$Z$98,2,FALSE)))&amp;IF(AND(AD135&lt;&gt;$AL$118,AD135&lt;&gt;$AL$119),IF(VLOOKUP(AD135,$AA$5:$AI$36,6,FALSE)&gt;0," ("&amp;VLOOKUP(AD135,$AA$5:$AI$36,6,FALSE)&amp;")",""),"")</f>
        <v>Polen</v>
      </c>
      <c r="AD135" s="731" t="str">
        <f t="shared" ca="1" si="10"/>
        <v>D1</v>
      </c>
      <c r="AE135" s="730" t="str">
        <f ca="1">IF(AF135=$AL$118,$AK$118,IF(AF135=$AL$119,$AK$119,VLOOKUP(AF135,Voorblad!$X$67:$Z$98,2,FALSE)))&amp;IF(AND(AF135&lt;&gt;$AL$118,AF135&lt;&gt;$AL$119),IF(VLOOKUP(AF135,$AA$5:$AI$36,9,FALSE)&gt;0," ("&amp;VLOOKUP(AF135,$AA$5:$AI$36,9,FALSE)&amp;")",""),"")</f>
        <v>Polen</v>
      </c>
      <c r="AF135" s="731" t="str">
        <f t="shared" ca="1" si="11"/>
        <v>D1</v>
      </c>
      <c r="AG135" s="730" t="str">
        <f ca="1">IF(AH135=$AL$118,$AK$118,IF(AH135=$AL$119,$AK$119,VLOOKUP(AH135,Voorblad!$X$67:$Z$98,2,FALSE)))</f>
        <v>Polen</v>
      </c>
      <c r="AH135" s="731" t="str">
        <f t="shared" ca="1" si="9"/>
        <v>D1</v>
      </c>
      <c r="AI135" s="730"/>
      <c r="AJ135" s="731"/>
      <c r="AK135" s="733">
        <f t="shared" si="12"/>
        <v>28</v>
      </c>
      <c r="AL135" s="808"/>
    </row>
    <row r="136" spans="27:38" x14ac:dyDescent="0.25">
      <c r="AA136" s="749" t="str">
        <f ca="1">Voorblad!AA81</f>
        <v>F3</v>
      </c>
      <c r="AB136" s="750"/>
      <c r="AC136" s="730" t="str">
        <f ca="1">IF(AD136=$AL$118,$AK$118,IF(AD136=$AL$119,$AK$119,VLOOKUP(AD136,Voorblad!$X$67:$Z$98,2,FALSE)))&amp;IF(AND(AD136&lt;&gt;$AL$118,AD136&lt;&gt;$AL$119),IF(VLOOKUP(AD136,$AA$5:$AI$36,6,FALSE)&gt;0," ("&amp;VLOOKUP(AD136,$AA$5:$AI$36,6,FALSE)&amp;")",""),"")</f>
        <v>Portugal</v>
      </c>
      <c r="AD136" s="731" t="str">
        <f t="shared" ca="1" si="10"/>
        <v>F3</v>
      </c>
      <c r="AE136" s="730" t="str">
        <f ca="1">IF(AF136=$AL$118,$AK$118,IF(AF136=$AL$119,$AK$119,VLOOKUP(AF136,Voorblad!$X$67:$Z$98,2,FALSE)))&amp;IF(AND(AF136&lt;&gt;$AL$118,AF136&lt;&gt;$AL$119),IF(VLOOKUP(AF136,$AA$5:$AI$36,9,FALSE)&gt;0," ("&amp;VLOOKUP(AF136,$AA$5:$AI$36,9,FALSE)&amp;")",""),"")</f>
        <v>Portugal</v>
      </c>
      <c r="AF136" s="731" t="str">
        <f t="shared" ca="1" si="11"/>
        <v>F3</v>
      </c>
      <c r="AG136" s="730" t="str">
        <f ca="1">IF(AH136=$AL$118,$AK$118,IF(AH136=$AL$119,$AK$119,VLOOKUP(AH136,Voorblad!$X$67:$Z$98,2,FALSE)))</f>
        <v>Portugal</v>
      </c>
      <c r="AH136" s="731" t="str">
        <f t="shared" ca="1" si="9"/>
        <v>F3</v>
      </c>
      <c r="AI136" s="730"/>
      <c r="AJ136" s="731"/>
      <c r="AK136" s="733">
        <f t="shared" si="12"/>
        <v>30</v>
      </c>
      <c r="AL136" s="808"/>
    </row>
    <row r="137" spans="27:38" x14ac:dyDescent="0.25">
      <c r="AA137" s="749" t="str">
        <f ca="1">Voorblad!AA82</f>
        <v>E3</v>
      </c>
      <c r="AB137" s="750"/>
      <c r="AC137" s="730" t="str">
        <f ca="1">IF(AD137=$AL$118,$AK$118,IF(AD137=$AL$119,$AK$119,VLOOKUP(AD137,Voorblad!$X$67:$Z$98,2,FALSE)))&amp;IF(AND(AD137&lt;&gt;$AL$118,AD137&lt;&gt;$AL$119),IF(VLOOKUP(AD137,$AA$5:$AI$36,6,FALSE)&gt;0," ("&amp;VLOOKUP(AD137,$AA$5:$AI$36,6,FALSE)&amp;")",""),"")</f>
        <v>Roemenië</v>
      </c>
      <c r="AD137" s="731" t="str">
        <f t="shared" ca="1" si="10"/>
        <v>E3</v>
      </c>
      <c r="AE137" s="730" t="str">
        <f ca="1">IF(AF137=$AL$118,$AK$118,IF(AF137=$AL$119,$AK$119,VLOOKUP(AF137,Voorblad!$X$67:$Z$98,2,FALSE)))&amp;IF(AND(AF137&lt;&gt;$AL$118,AF137&lt;&gt;$AL$119),IF(VLOOKUP(AF137,$AA$5:$AI$36,9,FALSE)&gt;0," ("&amp;VLOOKUP(AF137,$AA$5:$AI$36,9,FALSE)&amp;")",""),"")</f>
        <v>Roemenië</v>
      </c>
      <c r="AF137" s="731" t="str">
        <f t="shared" ca="1" si="11"/>
        <v>E3</v>
      </c>
      <c r="AG137" s="730" t="str">
        <f ca="1">IF(AH137=$AL$118,$AK$118,IF(AH137=$AL$119,$AK$119,VLOOKUP(AH137,Voorblad!$X$67:$Z$98,2,FALSE)))</f>
        <v>Roemenië</v>
      </c>
      <c r="AH137" s="731" t="str">
        <f t="shared" ca="1" si="9"/>
        <v>E3</v>
      </c>
      <c r="AI137" s="730"/>
      <c r="AJ137" s="731"/>
      <c r="AK137" s="733">
        <f t="shared" si="12"/>
        <v>32</v>
      </c>
      <c r="AL137" s="808"/>
    </row>
    <row r="138" spans="27:38" x14ac:dyDescent="0.25">
      <c r="AA138" s="749" t="str">
        <f ca="1">Voorblad!AA83</f>
        <v>A2</v>
      </c>
      <c r="AB138" s="750"/>
      <c r="AC138" s="730" t="str">
        <f ca="1">IF(AD138=$AL$118,$AK$118,IF(AD138=$AL$119,$AK$119,VLOOKUP(AD138,Voorblad!$X$67:$Z$98,2,FALSE)))&amp;IF(AND(AD138&lt;&gt;$AL$118,AD138&lt;&gt;$AL$119),IF(VLOOKUP(AD138,$AA$5:$AI$36,6,FALSE)&gt;0," ("&amp;VLOOKUP(AD138,$AA$5:$AI$36,6,FALSE)&amp;")",""),"")</f>
        <v>Schotland</v>
      </c>
      <c r="AD138" s="731" t="str">
        <f t="shared" ca="1" si="10"/>
        <v>A2</v>
      </c>
      <c r="AE138" s="730" t="str">
        <f ca="1">IF(AF138=$AL$118,$AK$118,IF(AF138=$AL$119,$AK$119,VLOOKUP(AF138,Voorblad!$X$67:$Z$98,2,FALSE)))&amp;IF(AND(AF138&lt;&gt;$AL$118,AF138&lt;&gt;$AL$119),IF(VLOOKUP(AF138,$AA$5:$AI$36,9,FALSE)&gt;0," ("&amp;VLOOKUP(AF138,$AA$5:$AI$36,9,FALSE)&amp;")",""),"")</f>
        <v>Schotland</v>
      </c>
      <c r="AF138" s="731" t="str">
        <f t="shared" ca="1" si="11"/>
        <v>A2</v>
      </c>
      <c r="AG138" s="730" t="str">
        <f ca="1">IF(AH138=$AL$118,$AK$118,IF(AH138=$AL$119,$AK$119,VLOOKUP(AH138,Voorblad!$X$67:$Z$98,2,FALSE)))</f>
        <v>Schotland</v>
      </c>
      <c r="AH138" s="731" t="str">
        <f t="shared" ca="1" si="9"/>
        <v>A2</v>
      </c>
      <c r="AI138" s="730"/>
      <c r="AJ138" s="731"/>
      <c r="AK138" s="733">
        <f t="shared" si="12"/>
        <v>34</v>
      </c>
      <c r="AL138" s="808"/>
    </row>
    <row r="139" spans="27:38" x14ac:dyDescent="0.25">
      <c r="AA139" s="749" t="str">
        <f ca="1">Voorblad!AA84</f>
        <v>C3</v>
      </c>
      <c r="AB139" s="750"/>
      <c r="AC139" s="730" t="str">
        <f ca="1">IF(AD139=$AL$118,$AK$118,IF(AD139=$AL$119,$AK$119,VLOOKUP(AD139,Voorblad!$X$67:$Z$98,2,FALSE)))&amp;IF(AND(AD139&lt;&gt;$AL$118,AD139&lt;&gt;$AL$119),IF(VLOOKUP(AD139,$AA$5:$AI$36,6,FALSE)&gt;0," ("&amp;VLOOKUP(AD139,$AA$5:$AI$36,6,FALSE)&amp;")",""),"")</f>
        <v>Servië</v>
      </c>
      <c r="AD139" s="731" t="str">
        <f t="shared" ca="1" si="10"/>
        <v>C3</v>
      </c>
      <c r="AE139" s="730" t="str">
        <f ca="1">IF(AF139=$AL$118,$AK$118,IF(AF139=$AL$119,$AK$119,VLOOKUP(AF139,Voorblad!$X$67:$Z$98,2,FALSE)))&amp;IF(AND(AF139&lt;&gt;$AL$118,AF139&lt;&gt;$AL$119),IF(VLOOKUP(AF139,$AA$5:$AI$36,9,FALSE)&gt;0," ("&amp;VLOOKUP(AF139,$AA$5:$AI$36,9,FALSE)&amp;")",""),"")</f>
        <v>Servië</v>
      </c>
      <c r="AF139" s="731" t="str">
        <f t="shared" ca="1" si="11"/>
        <v>C3</v>
      </c>
      <c r="AG139" s="730" t="str">
        <f ca="1">IF(AH139=$AL$118,$AK$118,IF(AH139=$AL$119,$AK$119,VLOOKUP(AH139,Voorblad!$X$67:$Z$98,2,FALSE)))</f>
        <v>Servië</v>
      </c>
      <c r="AH139" s="731" t="str">
        <f t="shared" ca="1" si="9"/>
        <v>C3</v>
      </c>
      <c r="AI139" s="730"/>
      <c r="AJ139" s="731"/>
      <c r="AK139" s="733">
        <f t="shared" si="12"/>
        <v>36</v>
      </c>
      <c r="AL139" s="808"/>
    </row>
    <row r="140" spans="27:38" x14ac:dyDescent="0.25">
      <c r="AA140" s="749" t="str">
        <f ca="1">Voorblad!AA85</f>
        <v>C1</v>
      </c>
      <c r="AB140" s="750"/>
      <c r="AC140" s="730" t="str">
        <f ca="1">IF(AD140=$AL$118,$AK$118,IF(AD140=$AL$119,$AK$119,VLOOKUP(AD140,Voorblad!$X$67:$Z$98,2,FALSE)))&amp;IF(AND(AD140&lt;&gt;$AL$118,AD140&lt;&gt;$AL$119),IF(VLOOKUP(AD140,$AA$5:$AI$36,6,FALSE)&gt;0," ("&amp;VLOOKUP(AD140,$AA$5:$AI$36,6,FALSE)&amp;")",""),"")</f>
        <v>Slovenië</v>
      </c>
      <c r="AD140" s="731" t="str">
        <f t="shared" ca="1" si="10"/>
        <v>C1</v>
      </c>
      <c r="AE140" s="730" t="str">
        <f ca="1">IF(AF140=$AL$118,$AK$118,IF(AF140=$AL$119,$AK$119,VLOOKUP(AF140,Voorblad!$X$67:$Z$98,2,FALSE)))&amp;IF(AND(AF140&lt;&gt;$AL$118,AF140&lt;&gt;$AL$119),IF(VLOOKUP(AF140,$AA$5:$AI$36,9,FALSE)&gt;0," ("&amp;VLOOKUP(AF140,$AA$5:$AI$36,9,FALSE)&amp;")",""),"")</f>
        <v>Slovenië</v>
      </c>
      <c r="AF140" s="731" t="str">
        <f t="shared" ca="1" si="11"/>
        <v>C1</v>
      </c>
      <c r="AG140" s="730" t="str">
        <f ca="1">IF(AH140=$AL$118,$AK$118,IF(AH140=$AL$119,$AK$119,VLOOKUP(AH140,Voorblad!$X$67:$Z$98,2,FALSE)))</f>
        <v>Slovenië</v>
      </c>
      <c r="AH140" s="731" t="str">
        <f t="shared" ca="1" si="9"/>
        <v>C1</v>
      </c>
      <c r="AI140" s="730"/>
      <c r="AJ140" s="731"/>
      <c r="AK140" s="733">
        <f t="shared" si="12"/>
        <v>38</v>
      </c>
      <c r="AL140" s="808"/>
    </row>
    <row r="141" spans="27:38" x14ac:dyDescent="0.25">
      <c r="AA141" s="749" t="str">
        <f ca="1">Voorblad!AA86</f>
        <v>E2</v>
      </c>
      <c r="AB141" s="750"/>
      <c r="AC141" s="730" t="str">
        <f ca="1">IF(AD141=$AL$118,$AK$118,IF(AD141=$AL$119,$AK$119,VLOOKUP(AD141,Voorblad!$X$67:$Z$98,2,FALSE)))&amp;IF(AND(AD141&lt;&gt;$AL$118,AD141&lt;&gt;$AL$119),IF(VLOOKUP(AD141,$AA$5:$AI$36,6,FALSE)&gt;0," ("&amp;VLOOKUP(AD141,$AA$5:$AI$36,6,FALSE)&amp;")",""),"")</f>
        <v>Slowakije</v>
      </c>
      <c r="AD141" s="731" t="str">
        <f t="shared" ca="1" si="10"/>
        <v>E2</v>
      </c>
      <c r="AE141" s="730" t="str">
        <f ca="1">IF(AF141=$AL$118,$AK$118,IF(AF141=$AL$119,$AK$119,VLOOKUP(AF141,Voorblad!$X$67:$Z$98,2,FALSE)))&amp;IF(AND(AF141&lt;&gt;$AL$118,AF141&lt;&gt;$AL$119),IF(VLOOKUP(AF141,$AA$5:$AI$36,9,FALSE)&gt;0," ("&amp;VLOOKUP(AF141,$AA$5:$AI$36,9,FALSE)&amp;")",""),"")</f>
        <v>Slowakije</v>
      </c>
      <c r="AF141" s="731" t="str">
        <f t="shared" ca="1" si="11"/>
        <v>E2</v>
      </c>
      <c r="AG141" s="730" t="str">
        <f ca="1">IF(AH141=$AL$118,$AK$118,IF(AH141=$AL$119,$AK$119,VLOOKUP(AH141,Voorblad!$X$67:$Z$98,2,FALSE)))</f>
        <v>Slowakije</v>
      </c>
      <c r="AH141" s="731" t="str">
        <f t="shared" ca="1" si="9"/>
        <v>E2</v>
      </c>
      <c r="AI141" s="730"/>
      <c r="AJ141" s="731"/>
      <c r="AK141" s="733">
        <f t="shared" si="12"/>
        <v>40</v>
      </c>
      <c r="AL141" s="808"/>
    </row>
    <row r="142" spans="27:38" x14ac:dyDescent="0.25">
      <c r="AA142" s="749" t="str">
        <f ca="1">Voorblad!AA87</f>
        <v>B1</v>
      </c>
      <c r="AB142" s="750"/>
      <c r="AC142" s="730" t="str">
        <f ca="1">IF(AD142=$AL$118,$AK$118,IF(AD142=$AL$119,$AK$119,VLOOKUP(AD142,Voorblad!$X$67:$Z$98,2,FALSE)))&amp;IF(AND(AD142&lt;&gt;$AL$118,AD142&lt;&gt;$AL$119),IF(VLOOKUP(AD142,$AA$5:$AI$36,6,FALSE)&gt;0," ("&amp;VLOOKUP(AD142,$AA$5:$AI$36,6,FALSE)&amp;")",""),"")</f>
        <v>Spanje</v>
      </c>
      <c r="AD142" s="731" t="str">
        <f t="shared" ca="1" si="10"/>
        <v>B1</v>
      </c>
      <c r="AE142" s="730" t="str">
        <f ca="1">IF(AF142=$AL$118,$AK$118,IF(AF142=$AL$119,$AK$119,VLOOKUP(AF142,Voorblad!$X$67:$Z$98,2,FALSE)))&amp;IF(AND(AF142&lt;&gt;$AL$118,AF142&lt;&gt;$AL$119),IF(VLOOKUP(AF142,$AA$5:$AI$36,9,FALSE)&gt;0," ("&amp;VLOOKUP(AF142,$AA$5:$AI$36,9,FALSE)&amp;")",""),"")</f>
        <v>Spanje</v>
      </c>
      <c r="AF142" s="731" t="str">
        <f t="shared" ca="1" si="11"/>
        <v>B1</v>
      </c>
      <c r="AG142" s="730" t="str">
        <f ca="1">IF(AH142=$AL$118,$AK$118,IF(AH142=$AL$119,$AK$119,VLOOKUP(AH142,Voorblad!$X$67:$Z$98,2,FALSE)))</f>
        <v>Spanje</v>
      </c>
      <c r="AH142" s="731" t="str">
        <f t="shared" ca="1" si="9"/>
        <v>B1</v>
      </c>
      <c r="AI142" s="730"/>
      <c r="AJ142" s="731"/>
      <c r="AK142" s="733">
        <f t="shared" si="12"/>
        <v>42</v>
      </c>
      <c r="AL142" s="808"/>
    </row>
    <row r="143" spans="27:38" x14ac:dyDescent="0.25">
      <c r="AA143" s="749" t="str">
        <f ca="1">Voorblad!AA88</f>
        <v>F4</v>
      </c>
      <c r="AB143" s="750"/>
      <c r="AC143" s="730" t="str">
        <f ca="1">IF(AD143=$AL$118,$AK$118,IF(AD143=$AL$119,$AK$119,VLOOKUP(AD143,Voorblad!$X$67:$Z$98,2,FALSE)))&amp;IF(AND(AD143&lt;&gt;$AL$118,AD143&lt;&gt;$AL$119),IF(VLOOKUP(AD143,$AA$5:$AI$36,6,FALSE)&gt;0," ("&amp;VLOOKUP(AD143,$AA$5:$AI$36,6,FALSE)&amp;")",""),"")</f>
        <v>Tsjechië</v>
      </c>
      <c r="AD143" s="731" t="str">
        <f t="shared" ca="1" si="10"/>
        <v>F4</v>
      </c>
      <c r="AE143" s="730" t="str">
        <f ca="1">IF(AF143=$AL$118,$AK$118,IF(AF143=$AL$119,$AK$119,VLOOKUP(AF143,Voorblad!$X$67:$Z$98,2,FALSE)))&amp;IF(AND(AF143&lt;&gt;$AL$118,AF143&lt;&gt;$AL$119),IF(VLOOKUP(AF143,$AA$5:$AI$36,9,FALSE)&gt;0," ("&amp;VLOOKUP(AF143,$AA$5:$AI$36,9,FALSE)&amp;")",""),"")</f>
        <v>Tsjechië</v>
      </c>
      <c r="AF143" s="731" t="str">
        <f t="shared" ca="1" si="11"/>
        <v>F4</v>
      </c>
      <c r="AG143" s="730" t="str">
        <f ca="1">IF(AH143=$AL$118,$AK$118,IF(AH143=$AL$119,$AK$119,VLOOKUP(AH143,Voorblad!$X$67:$Z$98,2,FALSE)))</f>
        <v>Tsjechië</v>
      </c>
      <c r="AH143" s="731" t="str">
        <f t="shared" ca="1" si="9"/>
        <v>F4</v>
      </c>
      <c r="AI143" s="730"/>
      <c r="AJ143" s="731"/>
      <c r="AK143" s="733">
        <f t="shared" si="12"/>
        <v>44</v>
      </c>
      <c r="AL143" s="808"/>
    </row>
    <row r="144" spans="27:38" x14ac:dyDescent="0.25">
      <c r="AA144" s="749" t="str">
        <f ca="1">Voorblad!AA89</f>
        <v>F1</v>
      </c>
      <c r="AB144" s="750"/>
      <c r="AC144" s="730" t="str">
        <f ca="1">IF(AD144=$AL$118,$AK$118,IF(AD144=$AL$119,$AK$119,VLOOKUP(AD144,Voorblad!$X$67:$Z$98,2,FALSE)))&amp;IF(AND(AD144&lt;&gt;$AL$118,AD144&lt;&gt;$AL$119),IF(VLOOKUP(AD144,$AA$5:$AI$36,6,FALSE)&gt;0," ("&amp;VLOOKUP(AD144,$AA$5:$AI$36,6,FALSE)&amp;")",""),"")</f>
        <v>Turkije</v>
      </c>
      <c r="AD144" s="731" t="str">
        <f t="shared" ca="1" si="10"/>
        <v>F1</v>
      </c>
      <c r="AE144" s="730" t="str">
        <f ca="1">IF(AF144=$AL$118,$AK$118,IF(AF144=$AL$119,$AK$119,VLOOKUP(AF144,Voorblad!$X$67:$Z$98,2,FALSE)))&amp;IF(AND(AF144&lt;&gt;$AL$118,AF144&lt;&gt;$AL$119),IF(VLOOKUP(AF144,$AA$5:$AI$36,9,FALSE)&gt;0," ("&amp;VLOOKUP(AF144,$AA$5:$AI$36,9,FALSE)&amp;")",""),"")</f>
        <v>Turkije</v>
      </c>
      <c r="AF144" s="731" t="str">
        <f t="shared" ca="1" si="11"/>
        <v>F1</v>
      </c>
      <c r="AG144" s="730" t="str">
        <f ca="1">IF(AH144=$AL$118,$AK$118,IF(AH144=$AL$119,$AK$119,VLOOKUP(AH144,Voorblad!$X$67:$Z$98,2,FALSE)))</f>
        <v>Turkije</v>
      </c>
      <c r="AH144" s="731" t="str">
        <f t="shared" ca="1" si="9"/>
        <v>F1</v>
      </c>
      <c r="AI144" s="730"/>
      <c r="AJ144" s="731"/>
      <c r="AK144" s="733">
        <f t="shared" si="12"/>
        <v>46</v>
      </c>
      <c r="AL144" s="808"/>
    </row>
    <row r="145" spans="27:38" x14ac:dyDescent="0.25">
      <c r="AA145" s="749" t="str">
        <f ca="1">Voorblad!AA90</f>
        <v>A4</v>
      </c>
      <c r="AB145" s="750"/>
      <c r="AC145" s="730" t="str">
        <f ca="1">IF(AD145=$AL$118,$AK$118,IF(AD145=$AL$119,$AK$119,VLOOKUP(AD145,Voorblad!$X$67:$Z$98,2,FALSE)))&amp;IF(AND(AD145&lt;&gt;$AL$118,AD145&lt;&gt;$AL$119),IF(VLOOKUP(AD145,$AA$5:$AI$36,6,FALSE)&gt;0," ("&amp;VLOOKUP(AD145,$AA$5:$AI$36,6,FALSE)&amp;")",""),"")</f>
        <v>Zwitserland</v>
      </c>
      <c r="AD145" s="731" t="str">
        <f t="shared" ca="1" si="10"/>
        <v>A4</v>
      </c>
      <c r="AE145" s="730" t="str">
        <f ca="1">IF(AF145=$AL$118,$AK$118,IF(AF145=$AL$119,$AK$119,VLOOKUP(AF145,Voorblad!$X$67:$Z$98,2,FALSE)))&amp;IF(AND(AF145&lt;&gt;$AL$118,AF145&lt;&gt;$AL$119),IF(VLOOKUP(AF145,$AA$5:$AI$36,9,FALSE)&gt;0," ("&amp;VLOOKUP(AF145,$AA$5:$AI$36,9,FALSE)&amp;")",""),"")</f>
        <v>Zwitserland</v>
      </c>
      <c r="AF145" s="731" t="str">
        <f t="shared" ca="1" si="11"/>
        <v>A4</v>
      </c>
      <c r="AG145" s="730" t="str">
        <f ca="1">IF(AH145=$AL$118,$AK$118,IF(AH145=$AL$119,$AK$119,VLOOKUP(AH145,Voorblad!$X$67:$Z$98,2,FALSE)))</f>
        <v>Zwitserland</v>
      </c>
      <c r="AH145" s="731" t="str">
        <f t="shared" ca="1" si="9"/>
        <v>A4</v>
      </c>
      <c r="AI145" s="730"/>
      <c r="AJ145" s="731"/>
      <c r="AK145" s="733">
        <f t="shared" si="12"/>
        <v>48</v>
      </c>
      <c r="AL145" s="808"/>
    </row>
    <row r="146" spans="27:38" x14ac:dyDescent="0.25">
      <c r="AA146" s="749" t="str">
        <f ca="1">Voorblad!AA91</f>
        <v>G1</v>
      </c>
      <c r="AB146" s="750"/>
      <c r="AC146" s="730" t="str">
        <f ca="1">IF(AD146=$AL$118,$AK$118,IF(AD146=$AL$119,$AK$119,VLOOKUP(AD146,Voorblad!$X$67:$Z$98,2,FALSE)))&amp;IF(AND(AD146&lt;&gt;$AL$118,AD146&lt;&gt;$AL$119),IF(VLOOKUP(AD146,$AA$5:$AI$36,6,FALSE)&gt;0," ("&amp;VLOOKUP(AD146,$AA$5:$AI$36,6,FALSE)&amp;")",""),"")</f>
        <v>────────────────</v>
      </c>
      <c r="AD146" s="731" t="str">
        <f t="shared" ca="1" si="10"/>
        <v>&amp;&amp;</v>
      </c>
      <c r="AE146" s="730" t="str">
        <f ca="1">IF(AF146=$AL$118,$AK$118,IF(AF146=$AL$119,$AK$119,VLOOKUP(AF146,Voorblad!$X$67:$Z$98,2,FALSE)))&amp;IF(AND(AF146&lt;&gt;$AL$118,AF146&lt;&gt;$AL$119),IF(VLOOKUP(AF146,$AA$5:$AI$36,9,FALSE)&gt;0," ("&amp;VLOOKUP(AF146,$AA$5:$AI$36,9,FALSE)&amp;")",""),"")</f>
        <v>────────────────</v>
      </c>
      <c r="AF146" s="731" t="str">
        <f t="shared" ca="1" si="11"/>
        <v>&amp;&amp;</v>
      </c>
      <c r="AG146" s="730" t="str">
        <f>IF($AL$123=24,"",IF(AH146=$AL$118,$AK$118,IF(AH146=$AL$119,$AK$119,VLOOKUP(AH146,Voorblad!$X$67:$Z$98,2,FALSE))))</f>
        <v/>
      </c>
      <c r="AH146" s="731" t="str">
        <f t="shared" ca="1" si="9"/>
        <v>A4</v>
      </c>
      <c r="AI146" s="730"/>
      <c r="AJ146" s="731"/>
      <c r="AK146" s="733">
        <f t="shared" si="12"/>
        <v>50</v>
      </c>
      <c r="AL146" s="808"/>
    </row>
    <row r="147" spans="27:38" x14ac:dyDescent="0.25">
      <c r="AA147" s="749" t="str">
        <f ca="1">Voorblad!AA92</f>
        <v>G2</v>
      </c>
      <c r="AB147" s="750"/>
      <c r="AC147" s="730" t="str">
        <f ca="1">IF(AD147=$AL$118,$AK$118,IF(AD147=$AL$119,$AK$119,VLOOKUP(AD147,Voorblad!$X$67:$Z$98,2,FALSE)))&amp;IF(AND(AD147&lt;&gt;$AL$118,AD147&lt;&gt;$AL$119),IF(VLOOKUP(AD147,$AA$5:$AI$36,6,FALSE)&gt;0," ("&amp;VLOOKUP(AD147,$AA$5:$AI$36,6,FALSE)&amp;")",""),"")</f>
        <v/>
      </c>
      <c r="AD147" s="731" t="str">
        <f t="shared" ca="1" si="10"/>
        <v>??</v>
      </c>
      <c r="AE147" s="730" t="str">
        <f ca="1">IF(AF147=$AL$118,$AK$118,IF(AF147=$AL$119,$AK$119,VLOOKUP(AF147,Voorblad!$X$67:$Z$98,2,FALSE)))&amp;IF(AND(AF147&lt;&gt;$AL$118,AF147&lt;&gt;$AL$119),IF(VLOOKUP(AF147,$AA$5:$AI$36,9,FALSE)&gt;0," ("&amp;VLOOKUP(AF147,$AA$5:$AI$36,9,FALSE)&amp;")",""),"")</f>
        <v/>
      </c>
      <c r="AF147" s="731" t="str">
        <f t="shared" ca="1" si="11"/>
        <v>??</v>
      </c>
      <c r="AG147" s="730" t="str">
        <f>IF($AL$123=24,"",IF(AH147=$AL$118,$AK$118,IF(AH147=$AL$119,$AK$119,VLOOKUP(AH147,Voorblad!$X$67:$Z$98,2,FALSE))))</f>
        <v/>
      </c>
      <c r="AH147" s="731" t="str">
        <f t="shared" ca="1" si="9"/>
        <v>A4</v>
      </c>
      <c r="AI147" s="730"/>
      <c r="AJ147" s="731"/>
      <c r="AK147" s="733">
        <f t="shared" si="12"/>
        <v>52</v>
      </c>
      <c r="AL147" s="808"/>
    </row>
    <row r="148" spans="27:38" x14ac:dyDescent="0.25">
      <c r="AA148" s="749" t="str">
        <f ca="1">Voorblad!AA93</f>
        <v>G3</v>
      </c>
      <c r="AB148" s="750"/>
      <c r="AC148" s="730" t="str">
        <f ca="1">IF(AD148=$AL$118,$AK$118,IF(AD148=$AL$119,$AK$119,VLOOKUP(AD148,Voorblad!$X$67:$Z$98,2,FALSE)))&amp;IF(AND(AD148&lt;&gt;$AL$118,AD148&lt;&gt;$AL$119),IF(VLOOKUP(AD148,$AA$5:$AI$36,6,FALSE)&gt;0," ("&amp;VLOOKUP(AD148,$AA$5:$AI$36,6,FALSE)&amp;")",""),"")</f>
        <v/>
      </c>
      <c r="AD148" s="731" t="str">
        <f t="shared" ca="1" si="10"/>
        <v>??</v>
      </c>
      <c r="AE148" s="730" t="str">
        <f ca="1">IF(AF148=$AL$118,$AK$118,IF(AF148=$AL$119,$AK$119,VLOOKUP(AF148,Voorblad!$X$67:$Z$98,2,FALSE)))&amp;IF(AND(AF148&lt;&gt;$AL$118,AF148&lt;&gt;$AL$119),IF(VLOOKUP(AF148,$AA$5:$AI$36,9,FALSE)&gt;0," ("&amp;VLOOKUP(AF148,$AA$5:$AI$36,9,FALSE)&amp;")",""),"")</f>
        <v/>
      </c>
      <c r="AF148" s="731" t="str">
        <f t="shared" ca="1" si="11"/>
        <v>??</v>
      </c>
      <c r="AG148" s="730" t="str">
        <f>IF($AL$123=24,"",IF(AH148=$AL$118,$AK$118,IF(AH148=$AL$119,$AK$119,VLOOKUP(AH148,Voorblad!$X$67:$Z$98,2,FALSE))))</f>
        <v/>
      </c>
      <c r="AH148" s="731" t="str">
        <f t="shared" ca="1" si="9"/>
        <v>A4</v>
      </c>
      <c r="AI148" s="730"/>
      <c r="AJ148" s="731"/>
      <c r="AK148" s="733">
        <f t="shared" si="12"/>
        <v>54</v>
      </c>
      <c r="AL148" s="808"/>
    </row>
    <row r="149" spans="27:38" x14ac:dyDescent="0.25">
      <c r="AA149" s="749" t="str">
        <f ca="1">Voorblad!AA94</f>
        <v>G4</v>
      </c>
      <c r="AB149" s="750"/>
      <c r="AC149" s="730" t="str">
        <f ca="1">IF(AD149=$AL$118,$AK$118,IF(AD149=$AL$119,$AK$119,VLOOKUP(AD149,Voorblad!$X$67:$Z$98,2,FALSE)))&amp;IF(AND(AD149&lt;&gt;$AL$118,AD149&lt;&gt;$AL$119),IF(VLOOKUP(AD149,$AA$5:$AI$36,6,FALSE)&gt;0," ("&amp;VLOOKUP(AD149,$AA$5:$AI$36,6,FALSE)&amp;")",""),"")</f>
        <v/>
      </c>
      <c r="AD149" s="731" t="str">
        <f t="shared" ca="1" si="10"/>
        <v>??</v>
      </c>
      <c r="AE149" s="730" t="str">
        <f ca="1">IF(AF149=$AL$118,$AK$118,IF(AF149=$AL$119,$AK$119,VLOOKUP(AF149,Voorblad!$X$67:$Z$98,2,FALSE)))&amp;IF(AND(AF149&lt;&gt;$AL$118,AF149&lt;&gt;$AL$119),IF(VLOOKUP(AF149,$AA$5:$AI$36,9,FALSE)&gt;0," ("&amp;VLOOKUP(AF149,$AA$5:$AI$36,9,FALSE)&amp;")",""),"")</f>
        <v/>
      </c>
      <c r="AF149" s="731" t="str">
        <f t="shared" ca="1" si="11"/>
        <v>??</v>
      </c>
      <c r="AG149" s="730" t="str">
        <f>IF($AL$123=24,"",IF(AH149=$AL$118,$AK$118,IF(AH149=$AL$119,$AK$119,VLOOKUP(AH149,Voorblad!$X$67:$Z$98,2,FALSE))))</f>
        <v/>
      </c>
      <c r="AH149" s="731" t="str">
        <f t="shared" ca="1" si="9"/>
        <v>A4</v>
      </c>
      <c r="AI149" s="730"/>
      <c r="AJ149" s="731"/>
      <c r="AK149" s="733">
        <f t="shared" si="12"/>
        <v>56</v>
      </c>
      <c r="AL149" s="808"/>
    </row>
    <row r="150" spans="27:38" x14ac:dyDescent="0.25">
      <c r="AA150" s="749" t="str">
        <f ca="1">Voorblad!AA95</f>
        <v>H1</v>
      </c>
      <c r="AB150" s="750"/>
      <c r="AC150" s="730" t="str">
        <f ca="1">IF(AD150=$AL$118,$AK$118,IF(AD150=$AL$119,$AK$119,VLOOKUP(AD150,Voorblad!$X$67:$Z$98,2,FALSE)))&amp;IF(AND(AD150&lt;&gt;$AL$118,AD150&lt;&gt;$AL$119),IF(VLOOKUP(AD150,$AA$5:$AI$36,6,FALSE)&gt;0," ("&amp;VLOOKUP(AD150,$AA$5:$AI$36,6,FALSE)&amp;")",""),"")</f>
        <v/>
      </c>
      <c r="AD150" s="731" t="str">
        <f t="shared" ca="1" si="10"/>
        <v>??</v>
      </c>
      <c r="AE150" s="730" t="str">
        <f ca="1">IF(AF150=$AL$118,$AK$118,IF(AF150=$AL$119,$AK$119,VLOOKUP(AF150,Voorblad!$X$67:$Z$98,2,FALSE)))&amp;IF(AND(AF150&lt;&gt;$AL$118,AF150&lt;&gt;$AL$119),IF(VLOOKUP(AF150,$AA$5:$AI$36,9,FALSE)&gt;0," ("&amp;VLOOKUP(AF150,$AA$5:$AI$36,9,FALSE)&amp;")",""),"")</f>
        <v/>
      </c>
      <c r="AF150" s="731" t="str">
        <f t="shared" ca="1" si="11"/>
        <v>??</v>
      </c>
      <c r="AG150" s="730" t="str">
        <f>IF($AL$123=24,"",IF(AH150=$AL$118,$AK$118,IF(AH150=$AL$119,$AK$119,VLOOKUP(AH150,Voorblad!$X$67:$Z$98,2,FALSE))))</f>
        <v/>
      </c>
      <c r="AH150" s="731" t="str">
        <f t="shared" ca="1" si="9"/>
        <v>A4</v>
      </c>
      <c r="AI150" s="730"/>
      <c r="AJ150" s="731"/>
      <c r="AK150" s="733">
        <f t="shared" si="12"/>
        <v>58</v>
      </c>
      <c r="AL150" s="808"/>
    </row>
    <row r="151" spans="27:38" x14ac:dyDescent="0.25">
      <c r="AA151" s="749" t="str">
        <f ca="1">Voorblad!AA96</f>
        <v>H2</v>
      </c>
      <c r="AB151" s="750"/>
      <c r="AC151" s="730" t="str">
        <f ca="1">IF(AD151=$AL$118,$AK$118,IF(AD151=$AL$119,$AK$119,VLOOKUP(AD151,Voorblad!$X$67:$Z$98,2,FALSE)))&amp;IF(AND(AD151&lt;&gt;$AL$118,AD151&lt;&gt;$AL$119),IF(VLOOKUP(AD151,$AA$5:$AI$36,6,FALSE)&gt;0," ("&amp;VLOOKUP(AD151,$AA$5:$AI$36,6,FALSE)&amp;")",""),"")</f>
        <v/>
      </c>
      <c r="AD151" s="731" t="str">
        <f t="shared" ca="1" si="10"/>
        <v>??</v>
      </c>
      <c r="AE151" s="730" t="str">
        <f ca="1">IF(AF151=$AL$118,$AK$118,IF(AF151=$AL$119,$AK$119,VLOOKUP(AF151,Voorblad!$X$67:$Z$98,2,FALSE)))&amp;IF(AND(AF151&lt;&gt;$AL$118,AF151&lt;&gt;$AL$119),IF(VLOOKUP(AF151,$AA$5:$AI$36,9,FALSE)&gt;0," ("&amp;VLOOKUP(AF151,$AA$5:$AI$36,9,FALSE)&amp;")",""),"")</f>
        <v/>
      </c>
      <c r="AF151" s="731" t="str">
        <f t="shared" ca="1" si="11"/>
        <v>??</v>
      </c>
      <c r="AG151" s="730" t="str">
        <f>IF($AL$123=24,"",IF(AH151=$AL$118,$AK$118,IF(AH151=$AL$119,$AK$119,VLOOKUP(AH151,Voorblad!$X$67:$Z$98,2,FALSE))))</f>
        <v/>
      </c>
      <c r="AH151" s="731" t="str">
        <f t="shared" ca="1" si="9"/>
        <v>A4</v>
      </c>
      <c r="AI151" s="730"/>
      <c r="AJ151" s="731"/>
      <c r="AK151" s="733">
        <f t="shared" si="12"/>
        <v>60</v>
      </c>
      <c r="AL151" s="808"/>
    </row>
    <row r="152" spans="27:38" x14ac:dyDescent="0.25">
      <c r="AA152" s="749" t="str">
        <f ca="1">Voorblad!AA97</f>
        <v>H3</v>
      </c>
      <c r="AB152" s="750"/>
      <c r="AC152" s="730" t="str">
        <f ca="1">IF(AD152=$AL$118,$AK$118,IF(AD152=$AL$119,$AK$119,VLOOKUP(AD152,Voorblad!$X$67:$Z$98,2,FALSE)))&amp;IF(AND(AD152&lt;&gt;$AL$118,AD152&lt;&gt;$AL$119),IF(VLOOKUP(AD152,$AA$5:$AI$36,6,FALSE)&gt;0," ("&amp;VLOOKUP(AD152,$AA$5:$AI$36,6,FALSE)&amp;")",""),"")</f>
        <v/>
      </c>
      <c r="AD152" s="731" t="str">
        <f t="shared" ca="1" si="10"/>
        <v>??</v>
      </c>
      <c r="AE152" s="730" t="str">
        <f ca="1">IF(AF152=$AL$118,$AK$118,IF(AF152=$AL$119,$AK$119,VLOOKUP(AF152,Voorblad!$X$67:$Z$98,2,FALSE)))&amp;IF(AND(AF152&lt;&gt;$AL$118,AF152&lt;&gt;$AL$119),IF(VLOOKUP(AF152,$AA$5:$AI$36,9,FALSE)&gt;0," ("&amp;VLOOKUP(AF152,$AA$5:$AI$36,9,FALSE)&amp;")",""),"")</f>
        <v/>
      </c>
      <c r="AF152" s="731" t="str">
        <f t="shared" ca="1" si="11"/>
        <v>??</v>
      </c>
      <c r="AG152" s="730" t="str">
        <f>IF($AL$123=24,"",IF(AH152=$AL$118,$AK$118,IF(AH152=$AL$119,$AK$119,VLOOKUP(AH152,Voorblad!$X$67:$Z$98,2,FALSE))))</f>
        <v/>
      </c>
      <c r="AH152" s="731" t="str">
        <f t="shared" ca="1" si="9"/>
        <v>A4</v>
      </c>
      <c r="AI152" s="730"/>
      <c r="AJ152" s="731"/>
      <c r="AK152" s="733">
        <f t="shared" si="12"/>
        <v>62</v>
      </c>
      <c r="AL152" s="808"/>
    </row>
    <row r="153" spans="27:38" x14ac:dyDescent="0.25">
      <c r="AA153" s="944" t="str">
        <f ca="1">Voorblad!AA98</f>
        <v>H4</v>
      </c>
      <c r="AB153" s="945"/>
      <c r="AC153" s="730" t="str">
        <f ca="1">IF(AD153=$AL$118,$AK$118,IF(AD153=$AL$119,$AK$119,VLOOKUP(AD153,Voorblad!$X$67:$Z$98,2,FALSE)))&amp;IF(AND(AD153&lt;&gt;$AL$118,AD153&lt;&gt;$AL$119),IF(VLOOKUP(AD153,$AA$5:$AI$36,6,FALSE)&gt;0," ("&amp;VLOOKUP(AD153,$AA$5:$AI$36,6,FALSE)&amp;")",""),"")</f>
        <v/>
      </c>
      <c r="AD153" s="731" t="str">
        <f t="shared" ca="1" si="10"/>
        <v>??</v>
      </c>
      <c r="AE153" s="730" t="str">
        <f ca="1">IF(AF153=$AL$118,$AK$118,IF(AF153=$AL$119,$AK$119,VLOOKUP(AF153,Voorblad!$X$67:$Z$98,2,FALSE)))&amp;IF(AND(AF153&lt;&gt;$AL$118,AF153&lt;&gt;$AL$119),IF(VLOOKUP(AF153,$AA$5:$AI$36,9,FALSE)&gt;0," ("&amp;VLOOKUP(AF153,$AA$5:$AI$36,9,FALSE)&amp;")",""),"")</f>
        <v/>
      </c>
      <c r="AF153" s="731" t="str">
        <f t="shared" ca="1" si="11"/>
        <v>??</v>
      </c>
      <c r="AG153" s="730" t="str">
        <f>IF($AL$123=24,"",IF(AH153=$AL$118,$AK$118,IF(AH153=$AL$119,$AK$119,VLOOKUP(AH153,Voorblad!$X$67:$Z$98,2,FALSE))))</f>
        <v/>
      </c>
      <c r="AH153" s="731" t="str">
        <f t="shared" ca="1" si="9"/>
        <v>A4</v>
      </c>
      <c r="AI153" s="730"/>
      <c r="AJ153" s="731"/>
      <c r="AK153" s="733">
        <f t="shared" si="12"/>
        <v>64</v>
      </c>
      <c r="AL153" s="808"/>
    </row>
    <row r="154" spans="27:38" x14ac:dyDescent="0.25">
      <c r="AA154" s="942"/>
      <c r="AB154" s="943"/>
      <c r="AC154" s="734" t="str">
        <f ca="1">IF(AD154=$AL$118,$AK$118,IF(AD154=$AL$119,$AK$119,VLOOKUP(AD154,Voorblad!$X$67:$Z$98,2,FALSE)))&amp;IF(AND(AD154&lt;&gt;$AL$118,AD154&lt;&gt;$AL$119),IF(VLOOKUP(AD154,$AA$5:$AI$36,6,FALSE)&gt;0," ("&amp;VLOOKUP(AD154,$AA$5:$AI$36,6,FALSE)&amp;")",""),"")</f>
        <v/>
      </c>
      <c r="AD154" s="735" t="str">
        <f t="shared" ca="1" si="10"/>
        <v>??</v>
      </c>
      <c r="AE154" s="734" t="str">
        <f ca="1">IF(AF154=$AL$118,$AK$118,IF(AF154=$AL$119,$AK$119,VLOOKUP(AF154,Voorblad!$X$67:$Z$98,2,FALSE)))&amp;IF(AND(AF154&lt;&gt;$AL$118,AF154&lt;&gt;$AL$119),IF(VLOOKUP(AF154,$AA$5:$AI$36,9,FALSE)&gt;0," ("&amp;VLOOKUP(AF154,$AA$5:$AI$36,9,FALSE)&amp;")",""),"")</f>
        <v/>
      </c>
      <c r="AF154" s="735" t="str">
        <f t="shared" ca="1" si="11"/>
        <v>??</v>
      </c>
      <c r="AG154" s="734"/>
      <c r="AH154" s="735"/>
      <c r="AI154" s="734"/>
      <c r="AJ154" s="735"/>
      <c r="AK154" s="736">
        <f t="shared" si="12"/>
        <v>66</v>
      </c>
      <c r="AL154" s="809"/>
    </row>
  </sheetData>
  <sheetProtection algorithmName="SHA-512" hashValue="V62Gs5PJuFY+p3oTyJBAtAO8AM3YZfJ/Z3cWl6idUD+KgMmk52Kua8nshwQirhNvwc5LZUcz+puazGpDnd5b9Q==" saltValue="iz+HQHcsrn3LtB0d/CT3mQ==" spinCount="100000" sheet="1" objects="1" scenarios="1" selectLockedCells="1"/>
  <sortState xmlns:xlrd2="http://schemas.microsoft.com/office/spreadsheetml/2017/richdata2" ref="X65:X77">
    <sortCondition ref="X65"/>
  </sortState>
  <mergeCells count="140">
    <mergeCell ref="U68:U70"/>
    <mergeCell ref="V68:Z70"/>
    <mergeCell ref="U41:Z42"/>
    <mergeCell ref="U52:U54"/>
    <mergeCell ref="V52:Z54"/>
    <mergeCell ref="U56:U58"/>
    <mergeCell ref="V56:Z58"/>
    <mergeCell ref="U60:U62"/>
    <mergeCell ref="V60:Z62"/>
    <mergeCell ref="U64:U66"/>
    <mergeCell ref="V64:Z66"/>
    <mergeCell ref="AI53:AK53"/>
    <mergeCell ref="AK30:AL30"/>
    <mergeCell ref="AK31:AL31"/>
    <mergeCell ref="U2:Y4"/>
    <mergeCell ref="W88:Y88"/>
    <mergeCell ref="D66:D68"/>
    <mergeCell ref="D50:D52"/>
    <mergeCell ref="D54:D56"/>
    <mergeCell ref="E58:L60"/>
    <mergeCell ref="E54:L56"/>
    <mergeCell ref="E50:L52"/>
    <mergeCell ref="AD3:AF3"/>
    <mergeCell ref="AG3:AI3"/>
    <mergeCell ref="AE42:AF42"/>
    <mergeCell ref="AG42:AH42"/>
    <mergeCell ref="AI42:AJ42"/>
    <mergeCell ref="AE41:AF41"/>
    <mergeCell ref="AG41:AH41"/>
    <mergeCell ref="AI41:AJ41"/>
    <mergeCell ref="D48:P48"/>
    <mergeCell ref="D44:O44"/>
    <mergeCell ref="U33:Z33"/>
    <mergeCell ref="U20:Z20"/>
    <mergeCell ref="U39:Z39"/>
    <mergeCell ref="D23:O23"/>
    <mergeCell ref="O89:Q89"/>
    <mergeCell ref="H89:I89"/>
    <mergeCell ref="H90:I90"/>
    <mergeCell ref="H91:I91"/>
    <mergeCell ref="H92:I92"/>
    <mergeCell ref="AJ3:AL3"/>
    <mergeCell ref="AA2:AL2"/>
    <mergeCell ref="AK5:AL5"/>
    <mergeCell ref="AK6:AL6"/>
    <mergeCell ref="AK7:AL7"/>
    <mergeCell ref="AK15:AL15"/>
    <mergeCell ref="AK16:AL16"/>
    <mergeCell ref="AK17:AL17"/>
    <mergeCell ref="AK18:AL18"/>
    <mergeCell ref="AK19:AL19"/>
    <mergeCell ref="AK10:AL10"/>
    <mergeCell ref="AK11:AL11"/>
    <mergeCell ref="AK12:AL12"/>
    <mergeCell ref="AK13:AL13"/>
    <mergeCell ref="AK14:AL14"/>
    <mergeCell ref="O91:Q91"/>
    <mergeCell ref="AI72:AK72"/>
    <mergeCell ref="AI77:AK77"/>
    <mergeCell ref="E66:L68"/>
    <mergeCell ref="H84:I84"/>
    <mergeCell ref="W86:Y86"/>
    <mergeCell ref="AJ79:AK79"/>
    <mergeCell ref="W96:Y96"/>
    <mergeCell ref="W97:Y97"/>
    <mergeCell ref="W98:Y98"/>
    <mergeCell ref="W99:Y99"/>
    <mergeCell ref="H93:I93"/>
    <mergeCell ref="H94:I94"/>
    <mergeCell ref="O94:Q94"/>
    <mergeCell ref="W95:Y95"/>
    <mergeCell ref="H88:I88"/>
    <mergeCell ref="W92:Y92"/>
    <mergeCell ref="W93:Y93"/>
    <mergeCell ref="W94:Y94"/>
    <mergeCell ref="W90:Y90"/>
    <mergeCell ref="W91:Y91"/>
    <mergeCell ref="O90:Q90"/>
    <mergeCell ref="O92:Q92"/>
    <mergeCell ref="O93:Q93"/>
    <mergeCell ref="O88:Q88"/>
    <mergeCell ref="W89:Y89"/>
    <mergeCell ref="W87:Y87"/>
    <mergeCell ref="H80:I80"/>
    <mergeCell ref="H82:I82"/>
    <mergeCell ref="H85:I85"/>
    <mergeCell ref="H87:I87"/>
    <mergeCell ref="W85:Y85"/>
    <mergeCell ref="V80:W81"/>
    <mergeCell ref="O81:T82"/>
    <mergeCell ref="J80:T80"/>
    <mergeCell ref="O87:Q87"/>
    <mergeCell ref="AK24:AL24"/>
    <mergeCell ref="D21:J21"/>
    <mergeCell ref="D62:D64"/>
    <mergeCell ref="AK33:AL33"/>
    <mergeCell ref="AK34:AL34"/>
    <mergeCell ref="AK35:AL35"/>
    <mergeCell ref="AK36:AL36"/>
    <mergeCell ref="AK37:AL37"/>
    <mergeCell ref="AK25:AL25"/>
    <mergeCell ref="AK26:AL26"/>
    <mergeCell ref="AK27:AL27"/>
    <mergeCell ref="AK28:AL28"/>
    <mergeCell ref="AK29:AL29"/>
    <mergeCell ref="D42:O42"/>
    <mergeCell ref="D43:O43"/>
    <mergeCell ref="D32:L32"/>
    <mergeCell ref="D34:L34"/>
    <mergeCell ref="D36:L36"/>
    <mergeCell ref="D38:L38"/>
    <mergeCell ref="D40:L40"/>
    <mergeCell ref="D58:D60"/>
    <mergeCell ref="AI57:AK57"/>
    <mergeCell ref="AK32:AL32"/>
    <mergeCell ref="E62:L64"/>
    <mergeCell ref="AI67:AK67"/>
    <mergeCell ref="AI55:AK55"/>
    <mergeCell ref="AJ74:AJ75"/>
    <mergeCell ref="AK74:AK75"/>
    <mergeCell ref="AK21:AL21"/>
    <mergeCell ref="AK22:AL22"/>
    <mergeCell ref="AK23:AL23"/>
    <mergeCell ref="D6:E6"/>
    <mergeCell ref="AK40:AL40"/>
    <mergeCell ref="AI40:AJ40"/>
    <mergeCell ref="AG40:AH40"/>
    <mergeCell ref="AE40:AF40"/>
    <mergeCell ref="G5:P7"/>
    <mergeCell ref="D13:J13"/>
    <mergeCell ref="D15:J15"/>
    <mergeCell ref="D17:J17"/>
    <mergeCell ref="D19:J19"/>
    <mergeCell ref="D11:P11"/>
    <mergeCell ref="H22:J22"/>
    <mergeCell ref="D29:P30"/>
    <mergeCell ref="AK8:AL8"/>
    <mergeCell ref="AK9:AL9"/>
    <mergeCell ref="D24:O24"/>
    <mergeCell ref="AK20:AL20"/>
  </mergeCells>
  <conditionalFormatting sqref="D3 O3 D9 D27 D46 D71 O71">
    <cfRule type="expression" dxfId="23" priority="14">
      <formula>$A$1="A255255255"</formula>
    </cfRule>
    <cfRule type="expression" dxfId="22" priority="15">
      <formula>$A$1="A000000000"</formula>
    </cfRule>
  </conditionalFormatting>
  <conditionalFormatting sqref="D11 D29 D48">
    <cfRule type="expression" dxfId="21" priority="16">
      <formula>$H$80=0</formula>
    </cfRule>
  </conditionalFormatting>
  <conditionalFormatting sqref="E50 E54 E58 E62 E66">
    <cfRule type="expression" dxfId="20" priority="13">
      <formula>$H$80=0</formula>
    </cfRule>
  </conditionalFormatting>
  <conditionalFormatting sqref="L13 L15 L17 L19 L21 N32 N34 N36 N38 N40">
    <cfRule type="expression" dxfId="19" priority="10">
      <formula>$S13="ONGELDIG"</formula>
    </cfRule>
    <cfRule type="expression" dxfId="18" priority="11">
      <formula>$S13="LEEG"</formula>
    </cfRule>
    <cfRule type="expression" dxfId="17" priority="12">
      <formula>$S13="GOED"</formula>
    </cfRule>
  </conditionalFormatting>
  <conditionalFormatting sqref="N50:N52 N54:N56 N58:N60 N62:N64 N66:N68">
    <cfRule type="expression" dxfId="16" priority="1">
      <formula>$S50=3</formula>
    </cfRule>
    <cfRule type="expression" dxfId="15" priority="2">
      <formula>OR($S50=1,$S50=2)</formula>
    </cfRule>
    <cfRule type="expression" dxfId="14" priority="3">
      <formula>$S50=0</formula>
    </cfRule>
  </conditionalFormatting>
  <dataValidations count="5">
    <dataValidation type="list" allowBlank="1" showInputMessage="1" showErrorMessage="1" sqref="D6:E6" xr:uid="{00000000-0002-0000-1500-000000000000}">
      <formula1>$S$3:$S$5</formula1>
    </dataValidation>
    <dataValidation type="list" allowBlank="1" showInputMessage="1" showErrorMessage="1" sqref="L21" xr:uid="{00000000-0002-0000-1500-000001000000}">
      <formula1>$AG$121:$AG$153</formula1>
    </dataValidation>
    <dataValidation type="list" allowBlank="1" showInputMessage="1" showErrorMessage="1" sqref="L17" xr:uid="{00000000-0002-0000-1500-000002000000}">
      <formula1>$AC$121:$AC$154</formula1>
    </dataValidation>
    <dataValidation type="list" allowBlank="1" showInputMessage="1" showErrorMessage="1" sqref="L19" xr:uid="{00000000-0002-0000-1500-000003000000}">
      <formula1>$AE$121:$AE$154</formula1>
    </dataValidation>
    <dataValidation type="list" allowBlank="1" showInputMessage="1" showErrorMessage="1" sqref="N51 N55 N59 N63 N67" xr:uid="{00000000-0002-0000-1500-000004000000}">
      <formula1>$S$70:$S$72</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1027" customWidth="1"/>
    <col min="19" max="19" width="16.7109375" style="49"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4" t="str">
        <f>Voorblad!A1</f>
        <v>A255255255</v>
      </c>
      <c r="B1" s="94" t="str">
        <f>Voorblad!B1</f>
        <v>B000080160</v>
      </c>
      <c r="C1" s="94" t="str">
        <f>Voorblad!C1</f>
        <v>C150200250</v>
      </c>
      <c r="D1" s="94" t="str">
        <f>Voorblad!D1</f>
        <v>D000080160</v>
      </c>
      <c r="E1" s="94" t="str">
        <f>Voorblad!E1</f>
        <v>E000080160</v>
      </c>
      <c r="R1" s="94"/>
      <c r="Y1" s="318"/>
      <c r="Z1" s="318"/>
      <c r="AA1" s="318"/>
    </row>
    <row r="2" spans="1:43" ht="15" customHeight="1" x14ac:dyDescent="0.25">
      <c r="B2" s="17"/>
      <c r="C2" s="1422" t="str">
        <f ca="1">IF(T3=1,"",UPPER(Taal04!B271))</f>
        <v>DIT WERKBLAD IS NIET VAN TOEPASSING. DE ORGANISATOR HEEFT GEKOZEN OM DE TEAMS FUNCTIE NIET TE GEBRUIKEN.</v>
      </c>
      <c r="D2" s="1422"/>
      <c r="E2" s="1422"/>
      <c r="F2" s="1422"/>
      <c r="G2" s="1422"/>
      <c r="H2" s="1422"/>
      <c r="I2" s="1422"/>
      <c r="J2" s="1422"/>
      <c r="K2" s="1422"/>
      <c r="L2" s="1422"/>
      <c r="M2" s="1422"/>
      <c r="N2" s="1422"/>
      <c r="O2" s="1422"/>
      <c r="P2" s="1422"/>
      <c r="Q2" s="17"/>
      <c r="R2" s="1025"/>
      <c r="S2" s="306" t="s">
        <v>2057</v>
      </c>
      <c r="T2" s="1029" t="s">
        <v>2595</v>
      </c>
      <c r="U2" s="1144" t="str">
        <f ca="1">Taal01!$B$56</f>
        <v>Teams</v>
      </c>
      <c r="V2" s="1144"/>
      <c r="W2" s="1144"/>
      <c r="X2" s="1144"/>
      <c r="Y2" s="1144"/>
      <c r="Z2" s="318"/>
    </row>
    <row r="3" spans="1:43" ht="15" customHeight="1" x14ac:dyDescent="0.25">
      <c r="B3" s="17"/>
      <c r="C3" s="1075"/>
      <c r="D3" s="1090" t="str">
        <f ca="1">Taal04!B7&amp;" - "&amp;Taal04!B12</f>
        <v>Excel Deelname Formulier - Teams</v>
      </c>
      <c r="E3" s="1090"/>
      <c r="F3" s="1090"/>
      <c r="G3" s="1090"/>
      <c r="H3" s="1090"/>
      <c r="I3" s="1090"/>
      <c r="J3" s="1090"/>
      <c r="K3" s="1090"/>
      <c r="L3" s="1090"/>
      <c r="M3" s="1090"/>
      <c r="N3" s="1090"/>
      <c r="O3" s="1091" t="str">
        <f ca="1">IF(Reglement!M3="","",Reglement!M3)</f>
        <v>EURO 2024: EK Polo-poule</v>
      </c>
      <c r="P3" s="1079"/>
      <c r="Q3" s="17"/>
      <c r="R3" s="1026">
        <v>1</v>
      </c>
      <c r="S3" s="306" t="s">
        <v>2058</v>
      </c>
      <c r="T3" s="774">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144"/>
      <c r="V3" s="1144"/>
      <c r="W3" s="1144"/>
      <c r="X3" s="1144"/>
      <c r="Y3" s="1144"/>
      <c r="Z3" s="318"/>
    </row>
    <row r="4" spans="1:43" ht="15" customHeight="1" x14ac:dyDescent="0.25">
      <c r="B4" s="17"/>
      <c r="C4" s="16"/>
      <c r="D4" s="16"/>
      <c r="E4" s="16"/>
      <c r="F4" s="16"/>
      <c r="G4" s="16"/>
      <c r="H4" s="16"/>
      <c r="I4" s="16"/>
      <c r="J4" s="16"/>
      <c r="K4" s="16"/>
      <c r="L4" s="16"/>
      <c r="M4" s="16"/>
      <c r="N4" s="16"/>
      <c r="O4" s="16"/>
      <c r="P4" s="16"/>
      <c r="Q4" s="17"/>
      <c r="R4" s="1026">
        <v>1</v>
      </c>
      <c r="S4" s="306" t="s">
        <v>2059</v>
      </c>
      <c r="T4" s="219">
        <f>IF(T3=1,RIGHT(LEFT(T2,5),2)*1,0)</f>
        <v>0</v>
      </c>
      <c r="U4" s="1144"/>
      <c r="V4" s="1144"/>
      <c r="W4" s="1144"/>
      <c r="X4" s="1144"/>
      <c r="Y4" s="1144"/>
      <c r="Z4" s="318"/>
    </row>
    <row r="5" spans="1:43" ht="15" customHeight="1" x14ac:dyDescent="0.25">
      <c r="B5" s="17"/>
      <c r="C5" s="1075"/>
      <c r="D5" s="1090" t="str">
        <f ca="1">Taal04!B235</f>
        <v>De Teams</v>
      </c>
      <c r="E5" s="1090"/>
      <c r="F5" s="1090"/>
      <c r="G5" s="1090"/>
      <c r="H5" s="1090"/>
      <c r="I5" s="1090"/>
      <c r="J5" s="1090"/>
      <c r="K5" s="1090"/>
      <c r="L5" s="1090"/>
      <c r="M5" s="1090"/>
      <c r="N5" s="1090"/>
      <c r="O5" s="1090"/>
      <c r="P5" s="1079"/>
      <c r="Q5" s="17"/>
      <c r="R5" s="1026">
        <v>1</v>
      </c>
      <c r="S5" s="306" t="s">
        <v>2060</v>
      </c>
      <c r="T5" s="219">
        <f>IF(T3=1,RIGHT(LEFT(T2,10),2)*1,0)</f>
        <v>0</v>
      </c>
      <c r="U5" s="1030"/>
      <c r="V5" s="1031"/>
      <c r="W5" s="1031"/>
      <c r="X5" s="1031"/>
      <c r="Y5" s="1031"/>
      <c r="Z5" s="1031"/>
      <c r="AA5" s="507"/>
      <c r="AB5" s="507"/>
      <c r="AC5" s="507"/>
      <c r="AD5" s="507"/>
      <c r="AE5" s="507"/>
      <c r="AF5" s="507"/>
      <c r="AG5" s="507"/>
      <c r="AH5" s="507"/>
      <c r="AI5" s="507"/>
      <c r="AJ5" s="507"/>
      <c r="AK5" s="507"/>
      <c r="AL5" s="507"/>
      <c r="AM5" s="507"/>
      <c r="AN5" s="507"/>
      <c r="AO5" s="507"/>
      <c r="AP5" s="507"/>
      <c r="AQ5" s="507"/>
    </row>
    <row r="6" spans="1:43" ht="15" customHeight="1" x14ac:dyDescent="0.25">
      <c r="B6" s="17"/>
      <c r="C6" s="1047"/>
      <c r="D6" s="16"/>
      <c r="E6" s="16"/>
      <c r="F6" s="16"/>
      <c r="G6" s="16"/>
      <c r="H6" s="16"/>
      <c r="I6" s="16"/>
      <c r="J6" s="16"/>
      <c r="K6" s="16"/>
      <c r="L6" s="16"/>
      <c r="M6" s="16"/>
      <c r="N6" s="16"/>
      <c r="O6" s="16"/>
      <c r="P6" s="1048"/>
      <c r="Q6" s="17"/>
      <c r="R6" s="1026">
        <v>1</v>
      </c>
      <c r="S6" s="306" t="s">
        <v>2061</v>
      </c>
      <c r="T6" s="219">
        <f>IF(T3=1,RIGHT(LEFT(T2,13),2)*1,0)</f>
        <v>0</v>
      </c>
      <c r="U6" s="1032"/>
      <c r="V6" s="1031"/>
      <c r="W6" s="1031"/>
      <c r="X6" s="1031"/>
      <c r="Y6" s="1031"/>
      <c r="Z6" s="1031"/>
      <c r="AA6" s="507"/>
      <c r="AB6" s="507"/>
      <c r="AC6" s="507"/>
      <c r="AD6" s="507"/>
      <c r="AE6" s="507"/>
      <c r="AF6" s="507"/>
      <c r="AG6" s="507"/>
      <c r="AH6" s="507"/>
      <c r="AI6" s="507"/>
      <c r="AJ6" s="507"/>
      <c r="AK6" s="507"/>
      <c r="AL6" s="507"/>
      <c r="AM6" s="507"/>
      <c r="AN6" s="507"/>
      <c r="AO6" s="507"/>
      <c r="AP6" s="507"/>
      <c r="AQ6" s="507"/>
    </row>
    <row r="7" spans="1:43" ht="15" customHeight="1" x14ac:dyDescent="0.25">
      <c r="B7" s="17"/>
      <c r="C7" s="1049"/>
      <c r="D7" s="1188"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188"/>
      <c r="F7" s="1188"/>
      <c r="G7" s="1188"/>
      <c r="H7" s="1188"/>
      <c r="I7" s="1188"/>
      <c r="J7" s="1188"/>
      <c r="K7" s="1188"/>
      <c r="L7" s="1188"/>
      <c r="M7" s="1188"/>
      <c r="N7" s="1188"/>
      <c r="O7" s="1188"/>
      <c r="P7" s="61"/>
      <c r="Q7" s="17"/>
      <c r="R7" s="1026">
        <v>1</v>
      </c>
      <c r="S7" s="306" t="s">
        <v>2066</v>
      </c>
      <c r="T7" s="306" t="str" cm="1">
        <f t="array" aca="1" ref="T7" ca="1">IF(AND(T3=1,T5&gt;0),INDIRECT("Taal04!B"&amp;241+T5),"")</f>
        <v/>
      </c>
      <c r="U7" s="1032"/>
      <c r="V7" s="1032"/>
      <c r="W7" s="1031"/>
      <c r="X7" s="1031"/>
      <c r="Y7" s="1031"/>
      <c r="Z7" s="1031"/>
      <c r="AA7" s="507"/>
      <c r="AB7" s="507"/>
      <c r="AC7" s="507"/>
      <c r="AD7" s="507"/>
      <c r="AE7" s="507"/>
      <c r="AF7" s="507"/>
      <c r="AG7" s="507"/>
      <c r="AH7" s="507"/>
      <c r="AI7" s="507"/>
      <c r="AJ7" s="507"/>
      <c r="AK7" s="507"/>
      <c r="AL7" s="507"/>
      <c r="AM7" s="507"/>
      <c r="AN7" s="507"/>
      <c r="AO7" s="507"/>
      <c r="AP7" s="507"/>
      <c r="AQ7" s="507"/>
    </row>
    <row r="8" spans="1:43" ht="15" customHeight="1" x14ac:dyDescent="0.25">
      <c r="B8" s="17"/>
      <c r="C8" s="1049"/>
      <c r="D8" s="1188"/>
      <c r="E8" s="1188"/>
      <c r="F8" s="1188"/>
      <c r="G8" s="1188"/>
      <c r="H8" s="1188"/>
      <c r="I8" s="1188"/>
      <c r="J8" s="1188"/>
      <c r="K8" s="1188"/>
      <c r="L8" s="1188"/>
      <c r="M8" s="1188"/>
      <c r="N8" s="1188"/>
      <c r="O8" s="1188"/>
      <c r="P8" s="61"/>
      <c r="Q8" s="17"/>
      <c r="R8" s="1026">
        <v>1</v>
      </c>
      <c r="S8" s="306" t="s">
        <v>2067</v>
      </c>
      <c r="T8" s="306" t="str" cm="1">
        <f t="array" aca="1" ref="T8" ca="1">IF(AND(T3=1,T6&gt;0),INDIRECT("Taal04!B"&amp;241+T6),"")</f>
        <v/>
      </c>
      <c r="U8" s="1032"/>
      <c r="V8" s="1032"/>
      <c r="W8" s="1031"/>
      <c r="X8" s="1031"/>
      <c r="Y8" s="1031"/>
      <c r="Z8" s="1031"/>
      <c r="AA8" s="507"/>
      <c r="AB8" s="507"/>
      <c r="AC8" s="507"/>
      <c r="AD8" s="507"/>
      <c r="AE8" s="507"/>
      <c r="AF8" s="507"/>
      <c r="AG8" s="507"/>
      <c r="AH8" s="507"/>
      <c r="AI8" s="507"/>
      <c r="AJ8" s="507"/>
      <c r="AK8" s="507"/>
      <c r="AL8" s="507"/>
      <c r="AM8" s="507"/>
      <c r="AN8" s="507"/>
      <c r="AO8" s="507"/>
      <c r="AP8" s="507"/>
      <c r="AQ8" s="507"/>
    </row>
    <row r="9" spans="1:43" ht="15" customHeight="1" x14ac:dyDescent="0.25">
      <c r="B9" s="17"/>
      <c r="C9" s="1049"/>
      <c r="D9" s="1188"/>
      <c r="E9" s="1188"/>
      <c r="F9" s="1188"/>
      <c r="G9" s="1188"/>
      <c r="H9" s="1188"/>
      <c r="I9" s="1188"/>
      <c r="J9" s="1188"/>
      <c r="K9" s="1188"/>
      <c r="L9" s="1188"/>
      <c r="M9" s="1188"/>
      <c r="N9" s="1188"/>
      <c r="O9" s="1188"/>
      <c r="P9" s="61"/>
      <c r="Q9" s="17"/>
      <c r="R9" s="1026">
        <v>1</v>
      </c>
      <c r="S9" s="306" t="str">
        <f>"@@@"</f>
        <v>@@@</v>
      </c>
      <c r="T9" s="306" t="str">
        <f>IF(T3=1,IF(OR(AND(T5=1,T6=0),AND(T5=0,T6=1),AND(T5=1,T6=1)),Taal04!B262,Taal04!B263),"")</f>
        <v/>
      </c>
      <c r="U9" s="1032"/>
      <c r="V9" s="1032"/>
      <c r="W9" s="1031"/>
      <c r="X9" s="1031"/>
      <c r="Y9" s="1031"/>
      <c r="Z9" s="1031"/>
      <c r="AA9" s="507"/>
      <c r="AB9" s="507"/>
      <c r="AC9" s="507"/>
      <c r="AD9" s="507"/>
      <c r="AE9" s="507"/>
      <c r="AF9" s="507"/>
      <c r="AG9" s="507"/>
      <c r="AH9" s="507"/>
      <c r="AI9" s="507"/>
      <c r="AJ9" s="507"/>
      <c r="AK9" s="507"/>
      <c r="AL9" s="507"/>
      <c r="AM9" s="507"/>
      <c r="AN9" s="507"/>
      <c r="AO9" s="507"/>
      <c r="AP9" s="507"/>
      <c r="AQ9" s="507"/>
    </row>
    <row r="10" spans="1:43" ht="15" customHeight="1" x14ac:dyDescent="0.25">
      <c r="B10" s="17"/>
      <c r="C10" s="1049"/>
      <c r="D10" s="17"/>
      <c r="E10" s="17"/>
      <c r="F10" s="17"/>
      <c r="G10" s="17"/>
      <c r="H10" s="17"/>
      <c r="I10" s="17"/>
      <c r="J10" s="17"/>
      <c r="K10" s="17"/>
      <c r="L10" s="17"/>
      <c r="M10" s="17"/>
      <c r="N10" s="17"/>
      <c r="O10" s="17"/>
      <c r="P10" s="61"/>
      <c r="Q10" s="17"/>
      <c r="R10" s="1026">
        <v>1</v>
      </c>
      <c r="S10" s="306" t="s">
        <v>2068</v>
      </c>
      <c r="T10" s="626" t="str">
        <f>IF(AND(T3=1,T5=0,T6=0),Taal04!B237,IF(AND(T3=1,T5&gt;0,T6=0),Taal04!B238,IF(AND(T3=1,T5=0,T6&gt;0),Taal04!B239,IF(AND(T3=1,T5&gt;0,T6&gt;0,T5&lt;&gt;T6),Taal04!B240,IF(AND(T3=1,T5&gt;0,T6&gt;0,T5=T6),Taal04!B241,"")))))</f>
        <v/>
      </c>
      <c r="U10" s="1032"/>
      <c r="V10" s="1032"/>
      <c r="W10" s="1031"/>
      <c r="X10" s="1031"/>
      <c r="Y10" s="1031"/>
      <c r="Z10" s="1031"/>
      <c r="AA10" s="507"/>
      <c r="AB10" s="507"/>
      <c r="AC10" s="507"/>
      <c r="AD10" s="507"/>
      <c r="AE10" s="507"/>
      <c r="AF10" s="507"/>
      <c r="AG10" s="507"/>
      <c r="AH10" s="507"/>
      <c r="AI10" s="507"/>
      <c r="AJ10" s="507"/>
      <c r="AK10" s="507"/>
      <c r="AL10" s="507"/>
      <c r="AM10" s="507"/>
      <c r="AN10" s="507"/>
      <c r="AO10" s="507"/>
      <c r="AP10" s="507"/>
      <c r="AQ10" s="507"/>
    </row>
    <row r="11" spans="1:43" ht="15" customHeight="1" x14ac:dyDescent="0.25">
      <c r="B11" s="17"/>
      <c r="C11" s="1049"/>
      <c r="D11" s="1425" t="str">
        <f ca="1">SUBSTITUTE(SUBSTITUTE(SUBSTITUTE(T10,S7,T7),S8,T8),S9,T9)</f>
        <v/>
      </c>
      <c r="E11" s="1425"/>
      <c r="F11" s="1425"/>
      <c r="G11" s="1425"/>
      <c r="H11" s="1425"/>
      <c r="I11" s="1425"/>
      <c r="J11" s="1425"/>
      <c r="K11" s="1425"/>
      <c r="L11" s="1425"/>
      <c r="M11" s="1425"/>
      <c r="N11" s="1425"/>
      <c r="O11" s="1425"/>
      <c r="P11" s="61"/>
      <c r="Q11" s="17"/>
      <c r="R11" s="1026">
        <v>1</v>
      </c>
      <c r="S11" s="626" t="s">
        <v>2096</v>
      </c>
      <c r="T11" s="306" t="str">
        <f>SUBSTITUTE(_xlfn.CONCAT(L201:L220),"999","")</f>
        <v/>
      </c>
      <c r="U11" s="1032"/>
      <c r="V11" s="1032"/>
      <c r="W11" s="1031"/>
      <c r="X11" s="1031"/>
      <c r="Y11" s="1031"/>
      <c r="Z11" s="1031"/>
      <c r="AA11" s="507"/>
      <c r="AB11" s="507"/>
      <c r="AC11" s="507"/>
      <c r="AD11" s="507"/>
      <c r="AE11" s="507"/>
      <c r="AF11" s="507"/>
      <c r="AG11" s="507"/>
      <c r="AH11" s="507"/>
      <c r="AI11" s="507"/>
      <c r="AJ11" s="507"/>
      <c r="AK11" s="507"/>
      <c r="AL11" s="507"/>
      <c r="AM11" s="507"/>
      <c r="AN11" s="507"/>
      <c r="AO11" s="507"/>
      <c r="AP11" s="507"/>
      <c r="AQ11" s="507"/>
    </row>
    <row r="12" spans="1:43" ht="15" customHeight="1" x14ac:dyDescent="0.25">
      <c r="B12" s="17"/>
      <c r="C12" s="1049"/>
      <c r="D12" s="1425"/>
      <c r="E12" s="1425"/>
      <c r="F12" s="1425"/>
      <c r="G12" s="1425"/>
      <c r="H12" s="1425"/>
      <c r="I12" s="1425"/>
      <c r="J12" s="1425"/>
      <c r="K12" s="1425"/>
      <c r="L12" s="1425"/>
      <c r="M12" s="1425"/>
      <c r="N12" s="1425"/>
      <c r="O12" s="1425"/>
      <c r="P12" s="61"/>
      <c r="Q12" s="17"/>
      <c r="R12" s="1026">
        <v>1</v>
      </c>
      <c r="S12" s="219" t="str">
        <f ca="1">UPPER(Taal04!B265)</f>
        <v>JA</v>
      </c>
      <c r="T12" s="306" t="str">
        <f>UPPER("|"&amp;Taal04!C265&amp;"|"&amp;Taal04!D265&amp;"|"&amp;Taal04!E265&amp;"|"&amp;Taal04!F265&amp;"|"&amp;Taal04!G265&amp;"|"&amp;Taal04!H265&amp;"|"&amp;Taal04!I265&amp;"|"&amp;Taal04!J265&amp;"|")</f>
        <v>|JA|YES|JA|JA|||||</v>
      </c>
      <c r="U12" s="1032"/>
      <c r="V12" s="1032"/>
      <c r="W12" s="1031"/>
      <c r="X12" s="1031"/>
      <c r="Y12" s="1031"/>
      <c r="Z12" s="1031"/>
      <c r="AA12" s="507"/>
      <c r="AB12" s="507"/>
      <c r="AC12" s="507"/>
      <c r="AD12" s="507"/>
      <c r="AE12" s="507"/>
      <c r="AF12" s="507"/>
      <c r="AG12" s="507"/>
      <c r="AH12" s="507"/>
      <c r="AI12" s="507"/>
      <c r="AJ12" s="507"/>
      <c r="AK12" s="507"/>
      <c r="AL12" s="507"/>
      <c r="AM12" s="507"/>
      <c r="AN12" s="507"/>
      <c r="AO12" s="507"/>
      <c r="AP12" s="507"/>
      <c r="AQ12" s="507"/>
    </row>
    <row r="13" spans="1:43" ht="15" customHeight="1" x14ac:dyDescent="0.25">
      <c r="B13" s="17"/>
      <c r="C13" s="1049"/>
      <c r="D13" s="1427" t="str">
        <f>IF(AND(T3=1,T5&lt;&gt;0,T6&lt;&gt;0),IF(Q212=1,Taal04!B268,IF(Q212=3,Taal04!B269,Taal04!B267)),"")</f>
        <v/>
      </c>
      <c r="E13" s="1427"/>
      <c r="F13" s="1427"/>
      <c r="G13" s="1427"/>
      <c r="H13" s="1427"/>
      <c r="I13" s="1427"/>
      <c r="J13" s="1427"/>
      <c r="K13" s="1427"/>
      <c r="L13" s="1427"/>
      <c r="M13" s="1427"/>
      <c r="N13" s="1427"/>
      <c r="O13" s="1427"/>
      <c r="P13" s="61"/>
      <c r="Q13" s="17"/>
      <c r="R13" s="1026">
        <v>1</v>
      </c>
      <c r="S13" s="219" t="str">
        <f ca="1">UPPER(Taal04!B266)</f>
        <v>NEE</v>
      </c>
      <c r="T13" s="306" t="str">
        <f>UPPER("|"&amp;Taal04!C266&amp;"|"&amp;Taal04!D266&amp;"|"&amp;Taal04!E266&amp;"|"&amp;Taal04!F266&amp;"|"&amp;Taal04!G266&amp;"|"&amp;Taal04!H266&amp;"|"&amp;Taal04!I266&amp;"|"&amp;Taal04!J266&amp;"|")</f>
        <v>|NEE|NO|NEIN|NEJ|||||</v>
      </c>
      <c r="U13" s="1032"/>
      <c r="V13" s="1032"/>
      <c r="W13" s="1031"/>
      <c r="X13" s="1031"/>
      <c r="Y13" s="1031"/>
      <c r="Z13" s="1031"/>
      <c r="AA13" s="507"/>
      <c r="AB13" s="507"/>
      <c r="AC13" s="507"/>
      <c r="AD13" s="507"/>
      <c r="AE13" s="507"/>
      <c r="AF13" s="507"/>
      <c r="AG13" s="507"/>
      <c r="AH13" s="507"/>
      <c r="AI13" s="507"/>
      <c r="AJ13" s="507"/>
      <c r="AK13" s="507"/>
      <c r="AL13" s="507"/>
      <c r="AM13" s="507"/>
      <c r="AN13" s="507"/>
      <c r="AO13" s="507"/>
      <c r="AP13" s="507"/>
      <c r="AQ13" s="507"/>
    </row>
    <row r="14" spans="1:43" ht="15" customHeight="1" x14ac:dyDescent="0.25">
      <c r="B14" s="17"/>
      <c r="C14" s="1049"/>
      <c r="D14" s="1035"/>
      <c r="E14" s="17"/>
      <c r="F14" s="17"/>
      <c r="G14" s="17"/>
      <c r="H14" s="17"/>
      <c r="I14" s="17"/>
      <c r="J14" s="17"/>
      <c r="K14" s="17"/>
      <c r="L14" s="17"/>
      <c r="M14" s="17"/>
      <c r="N14" s="17"/>
      <c r="O14" s="17"/>
      <c r="P14" s="61"/>
      <c r="Q14" s="17"/>
      <c r="R14" s="1026">
        <v>1</v>
      </c>
      <c r="S14" s="219"/>
      <c r="T14" s="306"/>
      <c r="U14" s="1032"/>
      <c r="V14" s="1032"/>
      <c r="W14" s="1031"/>
      <c r="X14" s="1031"/>
      <c r="Y14" s="1031"/>
      <c r="Z14" s="1031"/>
      <c r="AA14" s="507"/>
      <c r="AB14" s="507"/>
      <c r="AC14" s="507"/>
      <c r="AD14" s="507"/>
      <c r="AE14" s="507"/>
      <c r="AF14" s="507"/>
      <c r="AG14" s="507"/>
      <c r="AH14" s="507"/>
      <c r="AI14" s="507"/>
      <c r="AJ14" s="507"/>
      <c r="AK14" s="507"/>
      <c r="AL14" s="507"/>
      <c r="AM14" s="507"/>
      <c r="AN14" s="507"/>
      <c r="AO14" s="507"/>
      <c r="AP14" s="507"/>
      <c r="AQ14" s="507"/>
    </row>
    <row r="15" spans="1:43" ht="15" hidden="1" customHeight="1" x14ac:dyDescent="0.25">
      <c r="B15" s="17"/>
      <c r="C15" s="1049"/>
      <c r="D15" s="961" t="str" cm="1">
        <f t="array" aca="1" ref="D15" ca="1">IF(T16=1,INDIRECT("E"&amp;T17),"")</f>
        <v/>
      </c>
      <c r="E15" s="379"/>
      <c r="F15" s="379"/>
      <c r="G15" s="379"/>
      <c r="H15" s="379"/>
      <c r="I15" s="379"/>
      <c r="J15" s="379"/>
      <c r="K15" s="379"/>
      <c r="L15" s="379"/>
      <c r="M15" s="419" t="str">
        <f ca="1">Taal04!$B$264&amp;":"</f>
        <v>team selecteren:</v>
      </c>
      <c r="N15" s="1001" t="s">
        <v>62</v>
      </c>
      <c r="O15" s="202" t="s">
        <v>908</v>
      </c>
      <c r="P15" s="61"/>
      <c r="Q15" s="17"/>
      <c r="R15" s="1025">
        <f>IF(T16=1,1,0)</f>
        <v>0</v>
      </c>
      <c r="S15" s="963" t="s">
        <v>2091</v>
      </c>
      <c r="T15" s="522" t="str" cm="1">
        <f t="array" aca="1" ref="T15" ca="1">IF(AND($T$3=1,T16=1),INDIRECT("B"&amp;T17),"-")</f>
        <v>-</v>
      </c>
      <c r="U15" s="1032"/>
      <c r="V15" s="1032"/>
      <c r="W15" s="1031"/>
      <c r="X15" s="1031"/>
      <c r="Y15" s="1031"/>
      <c r="Z15" s="1031"/>
      <c r="AA15" s="507"/>
      <c r="AB15" s="507"/>
      <c r="AC15" s="507"/>
      <c r="AD15" s="507"/>
      <c r="AE15" s="507"/>
      <c r="AF15" s="507"/>
      <c r="AG15" s="507"/>
      <c r="AH15" s="507"/>
      <c r="AI15" s="507"/>
      <c r="AJ15" s="507"/>
      <c r="AK15" s="507"/>
      <c r="AL15" s="507"/>
      <c r="AM15" s="507"/>
      <c r="AN15" s="507"/>
      <c r="AO15" s="507"/>
      <c r="AP15" s="507"/>
      <c r="AQ15" s="507"/>
    </row>
    <row r="16" spans="1:43" ht="15" hidden="1" customHeight="1" x14ac:dyDescent="0.25">
      <c r="B16" s="17"/>
      <c r="C16" s="1049"/>
      <c r="D16" s="1426" t="str" cm="1">
        <f t="array" aca="1" ref="D16" ca="1">IF(AND(T16=1,T18=1),INDIRECT("G"&amp;T17),"")</f>
        <v/>
      </c>
      <c r="E16" s="1426"/>
      <c r="F16" s="1426"/>
      <c r="G16" s="1426"/>
      <c r="H16" s="1426"/>
      <c r="I16" s="1426"/>
      <c r="J16" s="1426"/>
      <c r="K16" s="1426"/>
      <c r="L16" s="1426"/>
      <c r="M16" s="1426"/>
      <c r="N16" s="1426"/>
      <c r="O16" s="1426"/>
      <c r="P16" s="61"/>
      <c r="Q16" s="17"/>
      <c r="R16" s="1025">
        <f ca="1">IF(T18=1,1,0)</f>
        <v>0</v>
      </c>
      <c r="S16" s="962" t="s">
        <v>2092</v>
      </c>
      <c r="T16" s="522">
        <f>IF(AND($T$3=1,RIGHT(S15,2)*1&lt;=$T$4),1,0)</f>
        <v>0</v>
      </c>
      <c r="U16" s="1032"/>
      <c r="V16" s="1032"/>
      <c r="W16" s="1031"/>
      <c r="X16" s="1031"/>
      <c r="Y16" s="1031"/>
      <c r="Z16" s="1031"/>
      <c r="AA16" s="507"/>
      <c r="AB16" s="507"/>
      <c r="AC16" s="507"/>
      <c r="AD16" s="507"/>
      <c r="AE16" s="507"/>
      <c r="AF16" s="507"/>
      <c r="AG16" s="507"/>
      <c r="AH16" s="507"/>
      <c r="AI16" s="507"/>
      <c r="AJ16" s="507"/>
      <c r="AK16" s="507"/>
      <c r="AL16" s="507"/>
      <c r="AM16" s="507"/>
      <c r="AN16" s="507"/>
      <c r="AO16" s="507"/>
      <c r="AP16" s="507"/>
      <c r="AQ16" s="507"/>
    </row>
    <row r="17" spans="2:43" ht="15" hidden="1" customHeight="1" x14ac:dyDescent="0.25">
      <c r="B17" s="17"/>
      <c r="C17" s="1049"/>
      <c r="D17" s="1426"/>
      <c r="E17" s="1426"/>
      <c r="F17" s="1426"/>
      <c r="G17" s="1426"/>
      <c r="H17" s="1426"/>
      <c r="I17" s="1426"/>
      <c r="J17" s="1426"/>
      <c r="K17" s="1426"/>
      <c r="L17" s="1426"/>
      <c r="M17" s="1426"/>
      <c r="N17" s="1426"/>
      <c r="O17" s="1426"/>
      <c r="P17" s="61"/>
      <c r="Q17" s="17"/>
      <c r="R17" s="1025">
        <f ca="1">IF(T18=1,1,0)</f>
        <v>0</v>
      </c>
      <c r="S17" s="962" t="s">
        <v>2095</v>
      </c>
      <c r="T17" s="522" t="str">
        <f>IF(T16=1,RIGHT(LEFT($T$11,RIGHT(S15,2)*3),3)*1,"-")</f>
        <v>-</v>
      </c>
      <c r="U17" s="1032"/>
      <c r="V17" s="1032"/>
      <c r="W17" s="1031"/>
      <c r="X17" s="1031"/>
      <c r="Y17" s="1031"/>
      <c r="Z17" s="1031"/>
      <c r="AA17" s="507"/>
      <c r="AB17" s="507"/>
      <c r="AC17" s="507"/>
      <c r="AD17" s="507"/>
      <c r="AE17" s="507"/>
      <c r="AF17" s="507"/>
      <c r="AG17" s="507"/>
      <c r="AH17" s="507"/>
      <c r="AI17" s="507"/>
      <c r="AJ17" s="507"/>
      <c r="AK17" s="507"/>
      <c r="AL17" s="507"/>
      <c r="AM17" s="507"/>
      <c r="AN17" s="507"/>
      <c r="AO17" s="507"/>
      <c r="AP17" s="507"/>
      <c r="AQ17" s="507"/>
    </row>
    <row r="18" spans="2:43" ht="15" hidden="1" customHeight="1" x14ac:dyDescent="0.25">
      <c r="B18" s="17"/>
      <c r="C18" s="1049"/>
      <c r="D18" s="1426"/>
      <c r="E18" s="1426"/>
      <c r="F18" s="1426"/>
      <c r="G18" s="1426"/>
      <c r="H18" s="1426"/>
      <c r="I18" s="1426"/>
      <c r="J18" s="1426"/>
      <c r="K18" s="1426"/>
      <c r="L18" s="1426"/>
      <c r="M18" s="1426"/>
      <c r="N18" s="1426"/>
      <c r="O18" s="1426"/>
      <c r="P18" s="61"/>
      <c r="Q18" s="17"/>
      <c r="R18" s="1025">
        <f ca="1">IF(T18=1,1,0)</f>
        <v>0</v>
      </c>
      <c r="S18" s="962" t="s">
        <v>2097</v>
      </c>
      <c r="T18" s="522" cm="1">
        <f t="array" aca="1" ref="T18" ca="1">IF(AND($T$3=1,T16=1),IF(OR(ISBLANK(INDIRECT("G"&amp;T17)),TRIM(INDIRECT("G"&amp;T17))=""),0,1),0)</f>
        <v>0</v>
      </c>
      <c r="U18" s="1032"/>
      <c r="V18" s="1032"/>
      <c r="W18" s="1031"/>
      <c r="X18" s="1031"/>
      <c r="Y18" s="1031"/>
      <c r="Z18" s="1031"/>
      <c r="AA18" s="507"/>
      <c r="AB18" s="507"/>
      <c r="AC18" s="507"/>
      <c r="AD18" s="507"/>
      <c r="AE18" s="507"/>
      <c r="AF18" s="507"/>
      <c r="AG18" s="507"/>
      <c r="AH18" s="507"/>
      <c r="AI18" s="507"/>
      <c r="AJ18" s="507"/>
      <c r="AK18" s="507"/>
      <c r="AL18" s="507"/>
      <c r="AM18" s="507"/>
      <c r="AN18" s="507"/>
      <c r="AO18" s="507"/>
      <c r="AP18" s="507"/>
      <c r="AQ18" s="507"/>
    </row>
    <row r="19" spans="2:43" ht="15" hidden="1" customHeight="1" x14ac:dyDescent="0.25">
      <c r="B19" s="17"/>
      <c r="C19" s="1049"/>
      <c r="D19" s="17"/>
      <c r="E19" s="17"/>
      <c r="F19" s="17"/>
      <c r="G19" s="17"/>
      <c r="H19" s="17"/>
      <c r="I19" s="17"/>
      <c r="J19" s="17"/>
      <c r="K19" s="17"/>
      <c r="L19" s="17"/>
      <c r="M19" s="17"/>
      <c r="N19" s="17"/>
      <c r="O19" s="17"/>
      <c r="P19" s="61"/>
      <c r="Q19" s="17"/>
      <c r="R19" s="1025">
        <f>IF(T16=1,1,0)</f>
        <v>0</v>
      </c>
      <c r="S19" s="962" t="s">
        <v>2098</v>
      </c>
      <c r="T19" s="522" cm="1">
        <f t="array" aca="1" ref="T19" ca="1">IF(AND(T16=1,SUBSTITUTE($T$12,"|"&amp;N15&amp;"|","####")&lt;&gt;$T$12),INDIRECT("M"&amp;T17),0)</f>
        <v>0</v>
      </c>
      <c r="U19" s="1032"/>
      <c r="V19" s="1032"/>
      <c r="W19" s="1031"/>
      <c r="X19" s="1031"/>
      <c r="Y19" s="1031"/>
      <c r="Z19" s="1031"/>
      <c r="AA19" s="507"/>
      <c r="AB19" s="507"/>
      <c r="AC19" s="507"/>
      <c r="AD19" s="507"/>
      <c r="AE19" s="507"/>
      <c r="AF19" s="507"/>
      <c r="AG19" s="507"/>
      <c r="AH19" s="507"/>
      <c r="AI19" s="507"/>
      <c r="AJ19" s="507"/>
      <c r="AK19" s="507"/>
      <c r="AL19" s="507"/>
      <c r="AM19" s="507"/>
      <c r="AN19" s="507"/>
      <c r="AO19" s="507"/>
      <c r="AP19" s="507"/>
      <c r="AQ19" s="507"/>
    </row>
    <row r="20" spans="2:43" ht="15" hidden="1" customHeight="1" x14ac:dyDescent="0.25">
      <c r="B20" s="17"/>
      <c r="C20" s="1049"/>
      <c r="D20" s="961" t="str" cm="1">
        <f t="array" aca="1" ref="D20" ca="1">IF(T21=1,INDIRECT("E"&amp;T22),"")</f>
        <v/>
      </c>
      <c r="E20" s="379"/>
      <c r="F20" s="379"/>
      <c r="G20" s="379"/>
      <c r="H20" s="379"/>
      <c r="I20" s="379"/>
      <c r="J20" s="379"/>
      <c r="K20" s="379"/>
      <c r="L20" s="379"/>
      <c r="M20" s="419" t="str">
        <f ca="1">Taal04!$B$264&amp;":"</f>
        <v>team selecteren:</v>
      </c>
      <c r="N20" s="1001" t="s">
        <v>62</v>
      </c>
      <c r="O20" s="202" t="s">
        <v>908</v>
      </c>
      <c r="P20" s="61"/>
      <c r="Q20" s="17"/>
      <c r="R20" s="1025">
        <f>IF(T21=1,1,0)</f>
        <v>0</v>
      </c>
      <c r="S20" s="964" t="str">
        <f>"Team "&amp;RIGHT("00"&amp;RIGHT(S15,2)*1+1,2)</f>
        <v>Team 02</v>
      </c>
      <c r="T20" s="966" t="str" cm="1">
        <f t="array" aca="1" ref="T20" ca="1">IF(AND($T$3=1,T21=1),INDIRECT("B"&amp;T22),"-")</f>
        <v>-</v>
      </c>
      <c r="U20" s="1032"/>
      <c r="V20" s="507"/>
      <c r="W20" s="507"/>
      <c r="X20" s="507"/>
      <c r="Y20" s="1031"/>
      <c r="Z20" s="1031"/>
      <c r="AA20" s="507"/>
      <c r="AB20" s="507"/>
      <c r="AC20" s="507"/>
      <c r="AD20" s="507"/>
      <c r="AE20" s="507"/>
      <c r="AF20" s="507"/>
      <c r="AG20" s="507"/>
      <c r="AH20" s="507"/>
      <c r="AI20" s="507"/>
      <c r="AJ20" s="507"/>
      <c r="AK20" s="507"/>
      <c r="AL20" s="507"/>
      <c r="AM20" s="507"/>
      <c r="AN20" s="507"/>
      <c r="AO20" s="507"/>
      <c r="AP20" s="507"/>
      <c r="AQ20" s="507"/>
    </row>
    <row r="21" spans="2:43" ht="15" hidden="1" customHeight="1" x14ac:dyDescent="0.25">
      <c r="B21" s="17"/>
      <c r="C21" s="1049"/>
      <c r="D21" s="1426" t="str" cm="1">
        <f t="array" aca="1" ref="D21" ca="1">IF(AND(T21=1,T23=1),INDIRECT("G"&amp;T22),"")</f>
        <v/>
      </c>
      <c r="E21" s="1426"/>
      <c r="F21" s="1426"/>
      <c r="G21" s="1426"/>
      <c r="H21" s="1426"/>
      <c r="I21" s="1426"/>
      <c r="J21" s="1426"/>
      <c r="K21" s="1426"/>
      <c r="L21" s="1426"/>
      <c r="M21" s="1426"/>
      <c r="N21" s="1426"/>
      <c r="O21" s="1426"/>
      <c r="P21" s="61"/>
      <c r="Q21" s="17"/>
      <c r="R21" s="1025">
        <f ca="1">IF(T23=1,1,0)</f>
        <v>0</v>
      </c>
      <c r="S21" s="965" t="s">
        <v>2092</v>
      </c>
      <c r="T21" s="966">
        <f>IF(AND($T$3=1,RIGHT(S20,2)*1&lt;=$T$4),1,0)</f>
        <v>0</v>
      </c>
      <c r="U21" s="1033"/>
      <c r="V21" s="507"/>
      <c r="W21" s="507"/>
      <c r="X21" s="507"/>
      <c r="Y21" s="1033"/>
      <c r="Z21" s="1033"/>
      <c r="AA21" s="507"/>
      <c r="AB21" s="507"/>
      <c r="AC21" s="507"/>
      <c r="AD21" s="507"/>
      <c r="AE21" s="507"/>
      <c r="AF21" s="507"/>
      <c r="AG21" s="507"/>
      <c r="AH21" s="507"/>
      <c r="AI21" s="507"/>
      <c r="AJ21" s="507"/>
      <c r="AK21" s="507"/>
      <c r="AL21" s="507"/>
      <c r="AM21" s="507"/>
      <c r="AN21" s="507"/>
      <c r="AO21" s="507"/>
      <c r="AP21" s="507"/>
      <c r="AQ21" s="507"/>
    </row>
    <row r="22" spans="2:43" ht="15" hidden="1" customHeight="1" x14ac:dyDescent="0.25">
      <c r="B22" s="17"/>
      <c r="C22" s="1049"/>
      <c r="D22" s="1426"/>
      <c r="E22" s="1426"/>
      <c r="F22" s="1426"/>
      <c r="G22" s="1426"/>
      <c r="H22" s="1426"/>
      <c r="I22" s="1426"/>
      <c r="J22" s="1426"/>
      <c r="K22" s="1426"/>
      <c r="L22" s="1426"/>
      <c r="M22" s="1426"/>
      <c r="N22" s="1426"/>
      <c r="O22" s="1426"/>
      <c r="P22" s="61"/>
      <c r="Q22" s="17"/>
      <c r="R22" s="1025">
        <f ca="1">IF(T23=1,1,0)</f>
        <v>0</v>
      </c>
      <c r="S22" s="965" t="s">
        <v>2095</v>
      </c>
      <c r="T22" s="966" t="str">
        <f>IF(T21=1,RIGHT(LEFT($T$11,RIGHT(S20,2)*3),3)*1,"-")</f>
        <v>-</v>
      </c>
      <c r="U22" s="1031"/>
      <c r="V22" s="507"/>
      <c r="W22" s="507"/>
      <c r="X22" s="507"/>
      <c r="Y22" s="1031"/>
      <c r="Z22" s="1031"/>
      <c r="AA22" s="507"/>
      <c r="AB22" s="507"/>
      <c r="AC22" s="507"/>
      <c r="AD22" s="507"/>
      <c r="AE22" s="507"/>
      <c r="AF22" s="507"/>
      <c r="AG22" s="507"/>
      <c r="AH22" s="507"/>
      <c r="AI22" s="507"/>
      <c r="AJ22" s="507"/>
      <c r="AK22" s="507"/>
      <c r="AL22" s="507"/>
      <c r="AM22" s="507"/>
      <c r="AN22" s="507"/>
      <c r="AO22" s="507"/>
      <c r="AP22" s="507"/>
      <c r="AQ22" s="507"/>
    </row>
    <row r="23" spans="2:43" ht="15" hidden="1" customHeight="1" x14ac:dyDescent="0.25">
      <c r="B23" s="17"/>
      <c r="C23" s="1049"/>
      <c r="D23" s="1426"/>
      <c r="E23" s="1426"/>
      <c r="F23" s="1426"/>
      <c r="G23" s="1426"/>
      <c r="H23" s="1426"/>
      <c r="I23" s="1426"/>
      <c r="J23" s="1426"/>
      <c r="K23" s="1426"/>
      <c r="L23" s="1426"/>
      <c r="M23" s="1426"/>
      <c r="N23" s="1426"/>
      <c r="O23" s="1426"/>
      <c r="P23" s="61"/>
      <c r="Q23" s="17"/>
      <c r="R23" s="1025">
        <f ca="1">IF(T23=1,1,0)</f>
        <v>0</v>
      </c>
      <c r="S23" s="965" t="s">
        <v>2097</v>
      </c>
      <c r="T23" s="966" cm="1">
        <f t="array" aca="1" ref="T23" ca="1">IF(AND($T$3=1,T21=1),IF(OR(ISBLANK(INDIRECT("G"&amp;T22)),TRIM(INDIRECT("G"&amp;T22))=""),0,1),0)</f>
        <v>0</v>
      </c>
      <c r="U23" s="1031"/>
      <c r="V23" s="507"/>
      <c r="W23" s="507"/>
      <c r="X23" s="507"/>
      <c r="Y23" s="1031"/>
      <c r="Z23" s="1031"/>
      <c r="AA23" s="507"/>
      <c r="AB23" s="507"/>
      <c r="AC23" s="507"/>
      <c r="AD23" s="507"/>
      <c r="AE23" s="507"/>
      <c r="AF23" s="507"/>
      <c r="AG23" s="507"/>
      <c r="AH23" s="507"/>
      <c r="AI23" s="507"/>
      <c r="AJ23" s="507"/>
      <c r="AK23" s="507"/>
      <c r="AL23" s="507"/>
      <c r="AM23" s="507"/>
      <c r="AN23" s="507"/>
      <c r="AO23" s="507"/>
      <c r="AP23" s="507"/>
      <c r="AQ23" s="507"/>
    </row>
    <row r="24" spans="2:43" ht="15" hidden="1" customHeight="1" x14ac:dyDescent="0.25">
      <c r="B24" s="17"/>
      <c r="C24" s="1049"/>
      <c r="D24" s="17"/>
      <c r="E24" s="17"/>
      <c r="F24" s="17"/>
      <c r="G24" s="17"/>
      <c r="H24" s="17"/>
      <c r="I24" s="17"/>
      <c r="J24" s="17"/>
      <c r="K24" s="17"/>
      <c r="L24" s="17"/>
      <c r="M24" s="17"/>
      <c r="N24" s="17"/>
      <c r="O24" s="17"/>
      <c r="P24" s="61"/>
      <c r="Q24" s="17"/>
      <c r="R24" s="1025">
        <f>IF(T21=1,1,0)</f>
        <v>0</v>
      </c>
      <c r="S24" s="965" t="s">
        <v>2098</v>
      </c>
      <c r="T24" s="966" cm="1">
        <f t="array" aca="1" ref="T24" ca="1">IF(AND(T21=1,SUBSTITUTE($T$12,"|"&amp;N20&amp;"|","####")&lt;&gt;$T$12),INDIRECT("M"&amp;T22),0)</f>
        <v>0</v>
      </c>
      <c r="U24" s="1031"/>
      <c r="V24" s="507"/>
      <c r="W24" s="507"/>
      <c r="X24" s="507"/>
      <c r="Y24" s="1031"/>
      <c r="Z24" s="1031"/>
      <c r="AA24" s="507"/>
      <c r="AB24" s="507"/>
      <c r="AC24" s="507"/>
      <c r="AD24" s="507"/>
      <c r="AE24" s="507"/>
      <c r="AF24" s="507"/>
      <c r="AG24" s="507"/>
      <c r="AH24" s="507"/>
      <c r="AI24" s="507"/>
      <c r="AJ24" s="507"/>
      <c r="AK24" s="507"/>
      <c r="AL24" s="507"/>
      <c r="AM24" s="507"/>
      <c r="AN24" s="507"/>
      <c r="AO24" s="507"/>
      <c r="AP24" s="507"/>
      <c r="AQ24" s="507"/>
    </row>
    <row r="25" spans="2:43" ht="15" hidden="1" customHeight="1" x14ac:dyDescent="0.25">
      <c r="B25" s="17"/>
      <c r="C25" s="1049"/>
      <c r="D25" s="961" t="str" cm="1">
        <f t="array" aca="1" ref="D25" ca="1">IF(T26=1,INDIRECT("E"&amp;T27),"")</f>
        <v/>
      </c>
      <c r="E25" s="379"/>
      <c r="F25" s="379"/>
      <c r="G25" s="379"/>
      <c r="H25" s="379"/>
      <c r="I25" s="379"/>
      <c r="J25" s="379"/>
      <c r="K25" s="379"/>
      <c r="L25" s="379"/>
      <c r="M25" s="419" t="str">
        <f ca="1">Taal04!$B$264&amp;":"</f>
        <v>team selecteren:</v>
      </c>
      <c r="N25" s="1001" t="s">
        <v>62</v>
      </c>
      <c r="O25" s="202" t="s">
        <v>908</v>
      </c>
      <c r="P25" s="61"/>
      <c r="Q25" s="17"/>
      <c r="R25" s="1025">
        <f>IF(T26=1,1,0)</f>
        <v>0</v>
      </c>
      <c r="S25" s="967" t="str">
        <f>"Team "&amp;RIGHT("00"&amp;RIGHT(S20,2)*1+1,2)</f>
        <v>Team 03</v>
      </c>
      <c r="T25" s="968" t="str" cm="1">
        <f t="array" aca="1" ref="T25" ca="1">IF(AND($T$3=1,T26=1),INDIRECT("B"&amp;T27),"-")</f>
        <v>-</v>
      </c>
      <c r="U25" s="1031"/>
      <c r="V25" s="507"/>
      <c r="W25" s="507"/>
      <c r="X25" s="507"/>
      <c r="Y25" s="1031"/>
      <c r="Z25" s="1031"/>
      <c r="AA25" s="507"/>
      <c r="AB25" s="507"/>
      <c r="AC25" s="507"/>
      <c r="AD25" s="507"/>
      <c r="AE25" s="507"/>
      <c r="AF25" s="507"/>
      <c r="AG25" s="507"/>
      <c r="AH25" s="507"/>
      <c r="AI25" s="507"/>
      <c r="AJ25" s="507"/>
      <c r="AK25" s="507"/>
      <c r="AL25" s="507"/>
      <c r="AM25" s="507"/>
      <c r="AN25" s="507"/>
      <c r="AO25" s="507"/>
      <c r="AP25" s="507"/>
      <c r="AQ25" s="507"/>
    </row>
    <row r="26" spans="2:43" ht="15" hidden="1" customHeight="1" x14ac:dyDescent="0.25">
      <c r="B26" s="17"/>
      <c r="C26" s="1049"/>
      <c r="D26" s="1426" t="str" cm="1">
        <f t="array" aca="1" ref="D26" ca="1">IF(AND(T26=1,T28=1),INDIRECT("G"&amp;T27),"")</f>
        <v/>
      </c>
      <c r="E26" s="1426"/>
      <c r="F26" s="1426"/>
      <c r="G26" s="1426"/>
      <c r="H26" s="1426"/>
      <c r="I26" s="1426"/>
      <c r="J26" s="1426"/>
      <c r="K26" s="1426"/>
      <c r="L26" s="1426"/>
      <c r="M26" s="1426"/>
      <c r="N26" s="1426"/>
      <c r="O26" s="1426"/>
      <c r="P26" s="61"/>
      <c r="Q26" s="17"/>
      <c r="R26" s="1025">
        <f ca="1">IF(T28=1,1,0)</f>
        <v>0</v>
      </c>
      <c r="S26" s="969" t="s">
        <v>2092</v>
      </c>
      <c r="T26" s="968">
        <f>IF(AND($T$3=1,RIGHT(S25,2)*1&lt;=$T$4),1,0)</f>
        <v>0</v>
      </c>
      <c r="U26" s="1031"/>
      <c r="V26" s="507"/>
      <c r="W26" s="507"/>
      <c r="X26" s="507"/>
      <c r="Y26" s="1031"/>
      <c r="Z26" s="1031"/>
      <c r="AA26" s="507"/>
      <c r="AB26" s="507"/>
      <c r="AC26" s="507"/>
      <c r="AD26" s="507"/>
      <c r="AE26" s="507"/>
      <c r="AF26" s="507"/>
      <c r="AG26" s="507"/>
      <c r="AH26" s="507"/>
      <c r="AI26" s="507"/>
      <c r="AJ26" s="507"/>
      <c r="AK26" s="507"/>
      <c r="AL26" s="507"/>
      <c r="AM26" s="507"/>
      <c r="AN26" s="507"/>
      <c r="AO26" s="507"/>
      <c r="AP26" s="507"/>
      <c r="AQ26" s="507"/>
    </row>
    <row r="27" spans="2:43" ht="15" hidden="1" customHeight="1" x14ac:dyDescent="0.25">
      <c r="B27" s="17"/>
      <c r="C27" s="1049"/>
      <c r="D27" s="1426"/>
      <c r="E27" s="1426"/>
      <c r="F27" s="1426"/>
      <c r="G27" s="1426"/>
      <c r="H27" s="1426"/>
      <c r="I27" s="1426"/>
      <c r="J27" s="1426"/>
      <c r="K27" s="1426"/>
      <c r="L27" s="1426"/>
      <c r="M27" s="1426"/>
      <c r="N27" s="1426"/>
      <c r="O27" s="1426"/>
      <c r="P27" s="61"/>
      <c r="Q27" s="17"/>
      <c r="R27" s="1025">
        <f ca="1">IF(T28=1,1,0)</f>
        <v>0</v>
      </c>
      <c r="S27" s="969" t="s">
        <v>2095</v>
      </c>
      <c r="T27" s="968" t="str">
        <f>IF(T26=1,RIGHT(LEFT($T$11,RIGHT(S25,2)*3),3)*1,"-")</f>
        <v>-</v>
      </c>
      <c r="U27" s="1030"/>
      <c r="V27" s="507"/>
      <c r="W27" s="507"/>
      <c r="X27" s="507"/>
      <c r="Y27" s="1031"/>
      <c r="Z27" s="1031"/>
      <c r="AA27" s="507"/>
      <c r="AB27" s="507"/>
      <c r="AC27" s="507"/>
      <c r="AD27" s="507"/>
      <c r="AE27" s="507"/>
      <c r="AF27" s="507"/>
      <c r="AG27" s="507"/>
      <c r="AH27" s="507"/>
      <c r="AI27" s="507"/>
      <c r="AJ27" s="507"/>
      <c r="AK27" s="507"/>
      <c r="AL27" s="507"/>
      <c r="AM27" s="507"/>
      <c r="AN27" s="507"/>
      <c r="AO27" s="507"/>
      <c r="AP27" s="507"/>
      <c r="AQ27" s="507"/>
    </row>
    <row r="28" spans="2:43" ht="15" hidden="1" customHeight="1" x14ac:dyDescent="0.25">
      <c r="B28" s="17"/>
      <c r="C28" s="1049"/>
      <c r="D28" s="1426"/>
      <c r="E28" s="1426"/>
      <c r="F28" s="1426"/>
      <c r="G28" s="1426"/>
      <c r="H28" s="1426"/>
      <c r="I28" s="1426"/>
      <c r="J28" s="1426"/>
      <c r="K28" s="1426"/>
      <c r="L28" s="1426"/>
      <c r="M28" s="1426"/>
      <c r="N28" s="1426"/>
      <c r="O28" s="1426"/>
      <c r="P28" s="61"/>
      <c r="Q28" s="17"/>
      <c r="R28" s="1025">
        <f ca="1">IF(T28=1,1,0)</f>
        <v>0</v>
      </c>
      <c r="S28" s="969" t="s">
        <v>2097</v>
      </c>
      <c r="T28" s="968" cm="1">
        <f t="array" aca="1" ref="T28" ca="1">IF(AND($T$3=1,T26=1),IF(OR(ISBLANK(INDIRECT("G"&amp;T27)),TRIM(INDIRECT("G"&amp;T27))=""),0,1),0)</f>
        <v>0</v>
      </c>
      <c r="U28" s="1031"/>
      <c r="V28" s="507"/>
      <c r="W28" s="507"/>
      <c r="X28" s="507"/>
      <c r="Y28" s="1031"/>
      <c r="Z28" s="1031"/>
      <c r="AA28" s="507"/>
      <c r="AB28" s="507"/>
      <c r="AC28" s="507"/>
      <c r="AD28" s="507"/>
      <c r="AE28" s="507"/>
      <c r="AF28" s="507"/>
      <c r="AG28" s="507"/>
      <c r="AH28" s="507"/>
      <c r="AI28" s="507"/>
      <c r="AJ28" s="507"/>
      <c r="AK28" s="507"/>
      <c r="AL28" s="507"/>
      <c r="AM28" s="507"/>
      <c r="AN28" s="507"/>
      <c r="AO28" s="507"/>
      <c r="AP28" s="507"/>
      <c r="AQ28" s="507"/>
    </row>
    <row r="29" spans="2:43" ht="15" hidden="1" customHeight="1" x14ac:dyDescent="0.25">
      <c r="B29" s="17"/>
      <c r="C29" s="1049"/>
      <c r="D29" s="17"/>
      <c r="E29" s="17"/>
      <c r="F29" s="17"/>
      <c r="G29" s="17"/>
      <c r="H29" s="17"/>
      <c r="I29" s="17"/>
      <c r="J29" s="17"/>
      <c r="K29" s="17"/>
      <c r="L29" s="17"/>
      <c r="M29" s="17"/>
      <c r="N29" s="17"/>
      <c r="O29" s="17"/>
      <c r="P29" s="61"/>
      <c r="Q29" s="17"/>
      <c r="R29" s="1025">
        <f>IF(T26=1,1,0)</f>
        <v>0</v>
      </c>
      <c r="S29" s="969" t="s">
        <v>2098</v>
      </c>
      <c r="T29" s="968" cm="1">
        <f t="array" aca="1" ref="T29" ca="1">IF(AND(T26=1,SUBSTITUTE($T$12,"|"&amp;N25&amp;"|","####")&lt;&gt;$T$12),INDIRECT("M"&amp;T27),0)</f>
        <v>0</v>
      </c>
      <c r="U29" s="1031"/>
      <c r="V29" s="507"/>
      <c r="W29" s="507"/>
      <c r="X29" s="507"/>
      <c r="Y29" s="1031"/>
      <c r="Z29" s="1031"/>
      <c r="AA29" s="507"/>
      <c r="AB29" s="507"/>
      <c r="AC29" s="507"/>
      <c r="AD29" s="507"/>
      <c r="AE29" s="507"/>
      <c r="AF29" s="507"/>
      <c r="AG29" s="507"/>
      <c r="AH29" s="507"/>
      <c r="AI29" s="507"/>
      <c r="AJ29" s="507"/>
      <c r="AK29" s="507"/>
      <c r="AL29" s="507"/>
      <c r="AM29" s="507"/>
      <c r="AN29" s="507"/>
      <c r="AO29" s="507"/>
      <c r="AP29" s="507"/>
      <c r="AQ29" s="507"/>
    </row>
    <row r="30" spans="2:43" ht="15" hidden="1" customHeight="1" x14ac:dyDescent="0.25">
      <c r="B30" s="17"/>
      <c r="C30" s="1049"/>
      <c r="D30" s="961" t="str" cm="1">
        <f t="array" aca="1" ref="D30" ca="1">IF(T31=1,INDIRECT("E"&amp;T32),"")</f>
        <v/>
      </c>
      <c r="E30" s="379"/>
      <c r="F30" s="379"/>
      <c r="G30" s="379"/>
      <c r="H30" s="379"/>
      <c r="I30" s="379"/>
      <c r="J30" s="379"/>
      <c r="K30" s="379"/>
      <c r="L30" s="379"/>
      <c r="M30" s="419" t="str">
        <f ca="1">Taal04!$B$264&amp;":"</f>
        <v>team selecteren:</v>
      </c>
      <c r="N30" s="1001" t="s">
        <v>62</v>
      </c>
      <c r="O30" s="202" t="s">
        <v>908</v>
      </c>
      <c r="P30" s="61"/>
      <c r="Q30" s="17"/>
      <c r="R30" s="1025">
        <f>IF(T31=1,1,0)</f>
        <v>0</v>
      </c>
      <c r="S30" s="970" t="str">
        <f>"Team "&amp;RIGHT("00"&amp;RIGHT(S25,2)*1+1,2)</f>
        <v>Team 04</v>
      </c>
      <c r="T30" s="971" t="str" cm="1">
        <f t="array" aca="1" ref="T30" ca="1">IF(AND($T$3=1,T31=1),INDIRECT("B"&amp;T32),"-")</f>
        <v>-</v>
      </c>
      <c r="U30" s="1031"/>
      <c r="V30" s="1031"/>
      <c r="W30" s="1031"/>
      <c r="X30" s="1031"/>
      <c r="Y30" s="1031"/>
      <c r="Z30" s="1031"/>
      <c r="AA30" s="507"/>
      <c r="AB30" s="507"/>
      <c r="AC30" s="507"/>
      <c r="AD30" s="507"/>
      <c r="AE30" s="507"/>
      <c r="AF30" s="507"/>
      <c r="AG30" s="507"/>
      <c r="AH30" s="507"/>
      <c r="AI30" s="507"/>
      <c r="AJ30" s="507"/>
      <c r="AK30" s="507"/>
      <c r="AL30" s="507"/>
      <c r="AM30" s="507"/>
      <c r="AN30" s="507"/>
      <c r="AO30" s="507"/>
      <c r="AP30" s="507"/>
      <c r="AQ30" s="507"/>
    </row>
    <row r="31" spans="2:43" ht="15" hidden="1" customHeight="1" x14ac:dyDescent="0.25">
      <c r="B31" s="17"/>
      <c r="C31" s="1049"/>
      <c r="D31" s="1426" t="str" cm="1">
        <f t="array" aca="1" ref="D31" ca="1">IF(AND(T31=1,T33=1),INDIRECT("G"&amp;T32),"")</f>
        <v/>
      </c>
      <c r="E31" s="1426"/>
      <c r="F31" s="1426"/>
      <c r="G31" s="1426"/>
      <c r="H31" s="1426"/>
      <c r="I31" s="1426"/>
      <c r="J31" s="1426"/>
      <c r="K31" s="1426"/>
      <c r="L31" s="1426"/>
      <c r="M31" s="1426"/>
      <c r="N31" s="1426"/>
      <c r="O31" s="1426"/>
      <c r="P31" s="61"/>
      <c r="Q31" s="17"/>
      <c r="R31" s="1025">
        <f ca="1">IF(T33=1,1,0)</f>
        <v>0</v>
      </c>
      <c r="S31" s="972" t="s">
        <v>2092</v>
      </c>
      <c r="T31" s="971">
        <f>IF(AND($T$3=1,RIGHT(S30,2)*1&lt;=$T$4),1,0)</f>
        <v>0</v>
      </c>
      <c r="U31" s="1031"/>
      <c r="V31" s="507"/>
      <c r="W31" s="1031"/>
      <c r="X31" s="1031"/>
      <c r="Y31" s="1031"/>
      <c r="Z31" s="1031"/>
      <c r="AA31" s="507"/>
      <c r="AB31" s="507"/>
      <c r="AC31" s="507"/>
      <c r="AD31" s="507"/>
      <c r="AE31" s="507"/>
      <c r="AF31" s="507"/>
      <c r="AG31" s="507"/>
      <c r="AH31" s="507"/>
      <c r="AI31" s="507"/>
      <c r="AJ31" s="507"/>
      <c r="AK31" s="507"/>
      <c r="AL31" s="507"/>
      <c r="AM31" s="507"/>
      <c r="AN31" s="507"/>
      <c r="AO31" s="507"/>
      <c r="AP31" s="507"/>
      <c r="AQ31" s="507"/>
    </row>
    <row r="32" spans="2:43" ht="15" hidden="1" customHeight="1" x14ac:dyDescent="0.25">
      <c r="B32" s="17"/>
      <c r="C32" s="1049"/>
      <c r="D32" s="1426"/>
      <c r="E32" s="1426"/>
      <c r="F32" s="1426"/>
      <c r="G32" s="1426"/>
      <c r="H32" s="1426"/>
      <c r="I32" s="1426"/>
      <c r="J32" s="1426"/>
      <c r="K32" s="1426"/>
      <c r="L32" s="1426"/>
      <c r="M32" s="1426"/>
      <c r="N32" s="1426"/>
      <c r="O32" s="1426"/>
      <c r="P32" s="61"/>
      <c r="Q32" s="17"/>
      <c r="R32" s="1025">
        <f ca="1">IF(T33=1,1,0)</f>
        <v>0</v>
      </c>
      <c r="S32" s="972" t="s">
        <v>2095</v>
      </c>
      <c r="T32" s="971" t="str">
        <f>IF(T31=1,RIGHT(LEFT($T$11,RIGHT(S30,2)*3),3)*1,"-")</f>
        <v>-</v>
      </c>
      <c r="U32" s="1031"/>
      <c r="V32" s="1031"/>
      <c r="W32" s="1031"/>
      <c r="X32" s="1031"/>
      <c r="Y32" s="1031"/>
      <c r="Z32" s="1031"/>
      <c r="AA32" s="507"/>
      <c r="AB32" s="507"/>
      <c r="AC32" s="507"/>
      <c r="AD32" s="507"/>
      <c r="AE32" s="507"/>
      <c r="AF32" s="507"/>
      <c r="AG32" s="507"/>
      <c r="AH32" s="507"/>
      <c r="AI32" s="507"/>
      <c r="AJ32" s="507"/>
      <c r="AK32" s="507"/>
      <c r="AL32" s="507"/>
      <c r="AM32" s="507"/>
      <c r="AN32" s="507"/>
      <c r="AO32" s="507"/>
      <c r="AP32" s="507"/>
      <c r="AQ32" s="507"/>
    </row>
    <row r="33" spans="2:43" ht="15" hidden="1" customHeight="1" x14ac:dyDescent="0.25">
      <c r="B33" s="17"/>
      <c r="C33" s="1049"/>
      <c r="D33" s="1426"/>
      <c r="E33" s="1426"/>
      <c r="F33" s="1426"/>
      <c r="G33" s="1426"/>
      <c r="H33" s="1426"/>
      <c r="I33" s="1426"/>
      <c r="J33" s="1426"/>
      <c r="K33" s="1426"/>
      <c r="L33" s="1426"/>
      <c r="M33" s="1426"/>
      <c r="N33" s="1426"/>
      <c r="O33" s="1426"/>
      <c r="P33" s="61"/>
      <c r="Q33" s="17"/>
      <c r="R33" s="1025">
        <f ca="1">IF(T33=1,1,0)</f>
        <v>0</v>
      </c>
      <c r="S33" s="972" t="s">
        <v>2097</v>
      </c>
      <c r="T33" s="971" cm="1">
        <f t="array" aca="1" ref="T33" ca="1">IF(AND($T$3=1,T31=1),IF(OR(ISBLANK(INDIRECT("G"&amp;T32)),TRIM(INDIRECT("G"&amp;T32))=""),0,1),0)</f>
        <v>0</v>
      </c>
      <c r="U33" s="1034"/>
      <c r="V33" s="1034"/>
      <c r="W33" s="1034"/>
      <c r="X33" s="1034"/>
      <c r="Y33" s="1034"/>
      <c r="Z33" s="1034"/>
      <c r="AA33" s="507"/>
      <c r="AB33" s="507"/>
      <c r="AC33" s="507"/>
      <c r="AD33" s="507"/>
      <c r="AE33" s="507"/>
      <c r="AF33" s="507"/>
      <c r="AG33" s="507"/>
      <c r="AH33" s="507"/>
      <c r="AI33" s="507"/>
      <c r="AJ33" s="507"/>
      <c r="AK33" s="507"/>
      <c r="AL33" s="507"/>
      <c r="AM33" s="507"/>
      <c r="AN33" s="507"/>
      <c r="AO33" s="507"/>
      <c r="AP33" s="507"/>
      <c r="AQ33" s="507"/>
    </row>
    <row r="34" spans="2:43" ht="15" hidden="1" customHeight="1" x14ac:dyDescent="0.25">
      <c r="B34" s="17"/>
      <c r="C34" s="1049"/>
      <c r="D34" s="17"/>
      <c r="E34" s="17"/>
      <c r="F34" s="17"/>
      <c r="G34" s="17"/>
      <c r="H34" s="17"/>
      <c r="I34" s="17"/>
      <c r="J34" s="17"/>
      <c r="K34" s="17"/>
      <c r="L34" s="17"/>
      <c r="M34" s="17"/>
      <c r="N34" s="17"/>
      <c r="O34" s="17"/>
      <c r="P34" s="61"/>
      <c r="Q34" s="17"/>
      <c r="R34" s="1025">
        <f>IF(T31=1,1,0)</f>
        <v>0</v>
      </c>
      <c r="S34" s="972" t="s">
        <v>2098</v>
      </c>
      <c r="T34" s="971" cm="1">
        <f t="array" aca="1" ref="T34" ca="1">IF(AND(T31=1,SUBSTITUTE($T$12,"|"&amp;N30&amp;"|","####")&lt;&gt;$T$12),INDIRECT("M"&amp;T32),0)</f>
        <v>0</v>
      </c>
      <c r="U34" s="1031"/>
      <c r="V34" s="1031"/>
      <c r="W34" s="1031"/>
      <c r="X34" s="1031"/>
      <c r="Y34" s="1031"/>
      <c r="Z34" s="1031"/>
      <c r="AA34" s="507"/>
      <c r="AB34" s="507"/>
      <c r="AC34" s="507"/>
      <c r="AD34" s="507"/>
      <c r="AE34" s="507"/>
      <c r="AF34" s="507"/>
      <c r="AG34" s="507"/>
      <c r="AH34" s="507"/>
      <c r="AI34" s="507"/>
      <c r="AJ34" s="507"/>
      <c r="AK34" s="507"/>
      <c r="AL34" s="507"/>
      <c r="AM34" s="507"/>
      <c r="AN34" s="507"/>
      <c r="AO34" s="507"/>
      <c r="AP34" s="507"/>
      <c r="AQ34" s="507"/>
    </row>
    <row r="35" spans="2:43" ht="15" hidden="1" customHeight="1" x14ac:dyDescent="0.25">
      <c r="B35" s="17"/>
      <c r="C35" s="1049"/>
      <c r="D35" s="961" t="str" cm="1">
        <f t="array" aca="1" ref="D35" ca="1">IF(T36=1,INDIRECT("E"&amp;T37),"")</f>
        <v/>
      </c>
      <c r="E35" s="379"/>
      <c r="F35" s="379"/>
      <c r="G35" s="379"/>
      <c r="H35" s="379"/>
      <c r="I35" s="379"/>
      <c r="J35" s="379"/>
      <c r="K35" s="379"/>
      <c r="L35" s="379"/>
      <c r="M35" s="419" t="str">
        <f ca="1">Taal04!$B$264&amp;":"</f>
        <v>team selecteren:</v>
      </c>
      <c r="N35" s="1001" t="s">
        <v>62</v>
      </c>
      <c r="O35" s="202" t="s">
        <v>908</v>
      </c>
      <c r="P35" s="61"/>
      <c r="Q35" s="17"/>
      <c r="R35" s="1025">
        <f>IF(T36=1,1,0)</f>
        <v>0</v>
      </c>
      <c r="S35" s="973" t="str">
        <f>"Team "&amp;RIGHT("00"&amp;RIGHT(S30,2)*1+1,2)</f>
        <v>Team 05</v>
      </c>
      <c r="T35" s="518" t="str" cm="1">
        <f t="array" aca="1" ref="T35" ca="1">IF(AND($T$3=1,T36=1),INDIRECT("B"&amp;T37),"-")</f>
        <v>-</v>
      </c>
      <c r="U35" s="1031"/>
      <c r="V35" s="1031"/>
      <c r="W35" s="1031"/>
      <c r="X35" s="1031"/>
      <c r="Y35" s="1031"/>
      <c r="Z35" s="1031"/>
      <c r="AA35" s="507"/>
      <c r="AB35" s="507"/>
      <c r="AC35" s="507"/>
      <c r="AD35" s="507"/>
      <c r="AE35" s="507"/>
      <c r="AF35" s="507"/>
      <c r="AG35" s="507"/>
      <c r="AH35" s="507"/>
      <c r="AI35" s="507"/>
      <c r="AJ35" s="507"/>
      <c r="AK35" s="507"/>
      <c r="AL35" s="507"/>
      <c r="AM35" s="507"/>
      <c r="AN35" s="507"/>
      <c r="AO35" s="507"/>
      <c r="AP35" s="507"/>
      <c r="AQ35" s="507"/>
    </row>
    <row r="36" spans="2:43" ht="15" hidden="1" customHeight="1" x14ac:dyDescent="0.25">
      <c r="B36" s="17"/>
      <c r="C36" s="1049"/>
      <c r="D36" s="1426" t="str" cm="1">
        <f t="array" aca="1" ref="D36" ca="1">IF(AND(T36=1,T38=1),INDIRECT("G"&amp;T37),"")</f>
        <v/>
      </c>
      <c r="E36" s="1426"/>
      <c r="F36" s="1426"/>
      <c r="G36" s="1426"/>
      <c r="H36" s="1426"/>
      <c r="I36" s="1426"/>
      <c r="J36" s="1426"/>
      <c r="K36" s="1426"/>
      <c r="L36" s="1426"/>
      <c r="M36" s="1426"/>
      <c r="N36" s="1426"/>
      <c r="O36" s="1426"/>
      <c r="P36" s="61"/>
      <c r="Q36" s="17"/>
      <c r="R36" s="1025">
        <f ca="1">IF(T38=1,1,0)</f>
        <v>0</v>
      </c>
      <c r="S36" s="974" t="s">
        <v>2092</v>
      </c>
      <c r="T36" s="518">
        <f>IF(AND($T$3=1,RIGHT(S35,2)*1&lt;=$T$4),1,0)</f>
        <v>0</v>
      </c>
      <c r="U36" s="1031"/>
      <c r="V36" s="1031"/>
      <c r="W36" s="1031"/>
      <c r="X36" s="1031"/>
      <c r="Y36" s="1031"/>
      <c r="Z36" s="1031"/>
      <c r="AA36" s="507"/>
      <c r="AB36" s="507"/>
      <c r="AC36" s="507"/>
      <c r="AD36" s="507"/>
      <c r="AE36" s="507"/>
      <c r="AF36" s="507"/>
      <c r="AG36" s="507"/>
      <c r="AH36" s="507"/>
      <c r="AI36" s="507"/>
      <c r="AJ36" s="507"/>
      <c r="AK36" s="507"/>
      <c r="AL36" s="507"/>
      <c r="AM36" s="507"/>
      <c r="AN36" s="507"/>
      <c r="AO36" s="507"/>
      <c r="AP36" s="507"/>
      <c r="AQ36" s="507"/>
    </row>
    <row r="37" spans="2:43" ht="15" hidden="1" customHeight="1" x14ac:dyDescent="0.25">
      <c r="B37" s="17"/>
      <c r="C37" s="1049"/>
      <c r="D37" s="1426"/>
      <c r="E37" s="1426"/>
      <c r="F37" s="1426"/>
      <c r="G37" s="1426"/>
      <c r="H37" s="1426"/>
      <c r="I37" s="1426"/>
      <c r="J37" s="1426"/>
      <c r="K37" s="1426"/>
      <c r="L37" s="1426"/>
      <c r="M37" s="1426"/>
      <c r="N37" s="1426"/>
      <c r="O37" s="1426"/>
      <c r="P37" s="61"/>
      <c r="Q37" s="17"/>
      <c r="R37" s="1025">
        <f ca="1">IF(T38=1,1,0)</f>
        <v>0</v>
      </c>
      <c r="S37" s="974" t="s">
        <v>2095</v>
      </c>
      <c r="T37" s="518" t="str">
        <f>IF(T36=1,RIGHT(LEFT($T$11,RIGHT(S35,2)*3),3)*1,"-")</f>
        <v>-</v>
      </c>
      <c r="U37" s="1031"/>
      <c r="V37" s="1031"/>
      <c r="W37" s="1031"/>
      <c r="X37" s="1031"/>
      <c r="Y37" s="1031"/>
      <c r="Z37" s="1031"/>
      <c r="AA37" s="507"/>
      <c r="AB37" s="507"/>
      <c r="AC37" s="507"/>
      <c r="AD37" s="507"/>
      <c r="AE37" s="507"/>
      <c r="AF37" s="507"/>
      <c r="AG37" s="507"/>
      <c r="AH37" s="507"/>
      <c r="AI37" s="507"/>
      <c r="AJ37" s="507"/>
      <c r="AK37" s="507"/>
      <c r="AL37" s="507"/>
      <c r="AM37" s="507"/>
      <c r="AN37" s="507"/>
      <c r="AO37" s="507"/>
      <c r="AP37" s="507"/>
      <c r="AQ37" s="507"/>
    </row>
    <row r="38" spans="2:43" ht="15" hidden="1" customHeight="1" x14ac:dyDescent="0.25">
      <c r="B38" s="17"/>
      <c r="C38" s="1049"/>
      <c r="D38" s="1426"/>
      <c r="E38" s="1426"/>
      <c r="F38" s="1426"/>
      <c r="G38" s="1426"/>
      <c r="H38" s="1426"/>
      <c r="I38" s="1426"/>
      <c r="J38" s="1426"/>
      <c r="K38" s="1426"/>
      <c r="L38" s="1426"/>
      <c r="M38" s="1426"/>
      <c r="N38" s="1426"/>
      <c r="O38" s="1426"/>
      <c r="P38" s="61"/>
      <c r="Q38" s="17"/>
      <c r="R38" s="1025">
        <f ca="1">IF(T38=1,1,0)</f>
        <v>0</v>
      </c>
      <c r="S38" s="974" t="s">
        <v>2097</v>
      </c>
      <c r="T38" s="518" cm="1">
        <f t="array" aca="1" ref="T38" ca="1">IF(AND($T$3=1,T36=1),IF(OR(ISBLANK(INDIRECT("G"&amp;T37)),TRIM(INDIRECT("G"&amp;T37))=""),0,1),0)</f>
        <v>0</v>
      </c>
      <c r="U38" s="1031"/>
      <c r="V38" s="1031"/>
      <c r="W38" s="1031"/>
      <c r="X38" s="1031"/>
      <c r="Y38" s="1031"/>
      <c r="Z38" s="1031"/>
      <c r="AA38" s="507"/>
      <c r="AB38" s="507"/>
      <c r="AC38" s="507"/>
      <c r="AD38" s="507"/>
      <c r="AE38" s="507"/>
      <c r="AF38" s="507"/>
      <c r="AG38" s="507"/>
      <c r="AH38" s="507"/>
      <c r="AI38" s="507"/>
      <c r="AJ38" s="507"/>
      <c r="AK38" s="507"/>
      <c r="AL38" s="507"/>
      <c r="AM38" s="507"/>
      <c r="AN38" s="507"/>
      <c r="AO38" s="507"/>
      <c r="AP38" s="507"/>
      <c r="AQ38" s="507"/>
    </row>
    <row r="39" spans="2:43" ht="15" hidden="1" customHeight="1" x14ac:dyDescent="0.25">
      <c r="B39" s="17"/>
      <c r="C39" s="1049"/>
      <c r="D39" s="17"/>
      <c r="E39" s="17"/>
      <c r="F39" s="17"/>
      <c r="G39" s="17"/>
      <c r="H39" s="17"/>
      <c r="I39" s="17"/>
      <c r="J39" s="17"/>
      <c r="K39" s="17"/>
      <c r="L39" s="17"/>
      <c r="M39" s="17"/>
      <c r="N39" s="17"/>
      <c r="O39" s="17"/>
      <c r="P39" s="61"/>
      <c r="Q39" s="17"/>
      <c r="R39" s="1025">
        <f>IF(T36=1,1,0)</f>
        <v>0</v>
      </c>
      <c r="S39" s="974" t="s">
        <v>2098</v>
      </c>
      <c r="T39" s="518" cm="1">
        <f t="array" aca="1" ref="T39" ca="1">IF(AND(T36=1,SUBSTITUTE($T$12,"|"&amp;N35&amp;"|","####")&lt;&gt;$T$12),INDIRECT("M"&amp;T37),0)</f>
        <v>0</v>
      </c>
      <c r="U39" s="1034"/>
      <c r="V39" s="1034"/>
      <c r="W39" s="1034"/>
      <c r="X39" s="1034"/>
      <c r="Y39" s="1034"/>
      <c r="Z39" s="1034"/>
      <c r="AA39" s="507"/>
      <c r="AB39" s="507"/>
      <c r="AC39" s="507"/>
      <c r="AD39" s="507"/>
      <c r="AE39" s="507"/>
      <c r="AF39" s="507"/>
      <c r="AG39" s="507"/>
      <c r="AH39" s="507"/>
      <c r="AI39" s="507"/>
      <c r="AJ39" s="507"/>
      <c r="AK39" s="507"/>
      <c r="AL39" s="507"/>
      <c r="AM39" s="507"/>
      <c r="AN39" s="507"/>
      <c r="AO39" s="507"/>
      <c r="AP39" s="507"/>
      <c r="AQ39" s="507"/>
    </row>
    <row r="40" spans="2:43" ht="15" hidden="1" customHeight="1" x14ac:dyDescent="0.25">
      <c r="B40" s="17"/>
      <c r="C40" s="1049"/>
      <c r="D40" s="961" t="str" cm="1">
        <f t="array" aca="1" ref="D40" ca="1">IF(T41=1,INDIRECT("E"&amp;T42),"")</f>
        <v/>
      </c>
      <c r="E40" s="379"/>
      <c r="F40" s="379"/>
      <c r="G40" s="379"/>
      <c r="H40" s="379"/>
      <c r="I40" s="379"/>
      <c r="J40" s="379"/>
      <c r="K40" s="379"/>
      <c r="L40" s="379"/>
      <c r="M40" s="419" t="str">
        <f ca="1">Taal04!$B$264&amp;":"</f>
        <v>team selecteren:</v>
      </c>
      <c r="N40" s="1001" t="s">
        <v>62</v>
      </c>
      <c r="O40" s="202" t="s">
        <v>908</v>
      </c>
      <c r="P40" s="61"/>
      <c r="Q40" s="17"/>
      <c r="R40" s="1025">
        <f>IF(T41=1,1,0)</f>
        <v>0</v>
      </c>
      <c r="S40" s="977" t="str">
        <f>"Team "&amp;RIGHT("00"&amp;RIGHT(S35,2)*1+1,2)</f>
        <v>Team 06</v>
      </c>
      <c r="T40" s="978" t="str" cm="1">
        <f t="array" aca="1" ref="T40" ca="1">IF(AND($T$3=1,T41=1),INDIRECT("B"&amp;T42),"-")</f>
        <v>-</v>
      </c>
      <c r="U40" s="1034"/>
      <c r="V40" s="1034"/>
      <c r="W40" s="1034"/>
      <c r="X40" s="1034"/>
      <c r="Y40" s="1034"/>
      <c r="Z40" s="1034"/>
      <c r="AA40" s="507"/>
      <c r="AB40" s="507"/>
      <c r="AC40" s="507"/>
      <c r="AD40" s="507"/>
      <c r="AE40" s="507"/>
      <c r="AF40" s="507"/>
      <c r="AG40" s="507"/>
      <c r="AH40" s="507"/>
      <c r="AI40" s="507"/>
      <c r="AJ40" s="507"/>
      <c r="AK40" s="507"/>
      <c r="AL40" s="507"/>
      <c r="AM40" s="507"/>
      <c r="AN40" s="507"/>
      <c r="AO40" s="507"/>
      <c r="AP40" s="507"/>
      <c r="AQ40" s="507"/>
    </row>
    <row r="41" spans="2:43" ht="15" hidden="1" customHeight="1" x14ac:dyDescent="0.25">
      <c r="B41" s="17"/>
      <c r="C41" s="1049"/>
      <c r="D41" s="1426" t="str" cm="1">
        <f t="array" aca="1" ref="D41" ca="1">IF(AND(T41=1,T43=1),INDIRECT("G"&amp;T42),"")</f>
        <v/>
      </c>
      <c r="E41" s="1426"/>
      <c r="F41" s="1426"/>
      <c r="G41" s="1426"/>
      <c r="H41" s="1426"/>
      <c r="I41" s="1426"/>
      <c r="J41" s="1426"/>
      <c r="K41" s="1426"/>
      <c r="L41" s="1426"/>
      <c r="M41" s="1426"/>
      <c r="N41" s="1426"/>
      <c r="O41" s="1426"/>
      <c r="P41" s="61"/>
      <c r="Q41" s="17"/>
      <c r="R41" s="1025">
        <f ca="1">IF(T43=1,1,0)</f>
        <v>0</v>
      </c>
      <c r="S41" s="979" t="s">
        <v>2092</v>
      </c>
      <c r="T41" s="978">
        <f>IF(AND($T$3=1,RIGHT(S40,2)*1&lt;=$T$4),1,0)</f>
        <v>0</v>
      </c>
      <c r="U41" s="318"/>
      <c r="V41" s="1020"/>
      <c r="W41" s="318"/>
      <c r="X41" s="318"/>
      <c r="Y41" s="318"/>
      <c r="Z41" s="318"/>
    </row>
    <row r="42" spans="2:43" ht="15" hidden="1" customHeight="1" x14ac:dyDescent="0.25">
      <c r="B42" s="17"/>
      <c r="C42" s="1049"/>
      <c r="D42" s="1426"/>
      <c r="E42" s="1426"/>
      <c r="F42" s="1426"/>
      <c r="G42" s="1426"/>
      <c r="H42" s="1426"/>
      <c r="I42" s="1426"/>
      <c r="J42" s="1426"/>
      <c r="K42" s="1426"/>
      <c r="L42" s="1426"/>
      <c r="M42" s="1426"/>
      <c r="N42" s="1426"/>
      <c r="O42" s="1426"/>
      <c r="P42" s="61"/>
      <c r="Q42" s="17"/>
      <c r="R42" s="1025">
        <f ca="1">IF(T43=1,1,0)</f>
        <v>0</v>
      </c>
      <c r="S42" s="979" t="s">
        <v>2095</v>
      </c>
      <c r="T42" s="978" t="str">
        <f>IF(T41=1,RIGHT(LEFT($T$11,RIGHT(S40,2)*3),3)*1,"-")</f>
        <v>-</v>
      </c>
      <c r="U42" s="318"/>
      <c r="V42" s="318"/>
      <c r="W42" s="318"/>
      <c r="X42" s="318"/>
      <c r="Y42" s="318"/>
      <c r="Z42" s="318"/>
    </row>
    <row r="43" spans="2:43" ht="15" hidden="1" customHeight="1" x14ac:dyDescent="0.25">
      <c r="B43" s="17"/>
      <c r="C43" s="1049"/>
      <c r="D43" s="1426"/>
      <c r="E43" s="1426"/>
      <c r="F43" s="1426"/>
      <c r="G43" s="1426"/>
      <c r="H43" s="1426"/>
      <c r="I43" s="1426"/>
      <c r="J43" s="1426"/>
      <c r="K43" s="1426"/>
      <c r="L43" s="1426"/>
      <c r="M43" s="1426"/>
      <c r="N43" s="1426"/>
      <c r="O43" s="1426"/>
      <c r="P43" s="61"/>
      <c r="Q43" s="17"/>
      <c r="R43" s="1025">
        <f ca="1">IF(T43=1,1,0)</f>
        <v>0</v>
      </c>
      <c r="S43" s="979" t="s">
        <v>2097</v>
      </c>
      <c r="T43" s="978" cm="1">
        <f t="array" aca="1" ref="T43" ca="1">IF(AND($T$3=1,T41=1),IF(OR(ISBLANK(INDIRECT("G"&amp;T42)),TRIM(INDIRECT("G"&amp;T42))=""),0,1),0)</f>
        <v>0</v>
      </c>
      <c r="U43" s="318"/>
      <c r="V43" s="318"/>
      <c r="W43" s="318"/>
      <c r="X43" s="318"/>
      <c r="Y43" s="318"/>
      <c r="Z43" s="318"/>
    </row>
    <row r="44" spans="2:43" ht="15" hidden="1" customHeight="1" x14ac:dyDescent="0.25">
      <c r="B44" s="17"/>
      <c r="C44" s="1049"/>
      <c r="D44" s="17"/>
      <c r="E44" s="17"/>
      <c r="F44" s="17"/>
      <c r="G44" s="17"/>
      <c r="H44" s="17"/>
      <c r="I44" s="17"/>
      <c r="J44" s="17"/>
      <c r="K44" s="17"/>
      <c r="L44" s="17"/>
      <c r="M44" s="17"/>
      <c r="N44" s="17"/>
      <c r="O44" s="17"/>
      <c r="P44" s="61"/>
      <c r="Q44" s="17"/>
      <c r="R44" s="1025">
        <f>IF(T41=1,1,0)</f>
        <v>0</v>
      </c>
      <c r="S44" s="979" t="s">
        <v>2098</v>
      </c>
      <c r="T44" s="978" cm="1">
        <f t="array" aca="1" ref="T44" ca="1">IF(AND(T41=1,SUBSTITUTE($T$12,"|"&amp;N40&amp;"|","####")&lt;&gt;$T$12),INDIRECT("M"&amp;T42),0)</f>
        <v>0</v>
      </c>
      <c r="U44" s="318"/>
      <c r="V44" s="318"/>
      <c r="W44" s="318"/>
      <c r="X44" s="318"/>
      <c r="Y44" s="318"/>
      <c r="Z44" s="318"/>
    </row>
    <row r="45" spans="2:43" ht="15" hidden="1" customHeight="1" x14ac:dyDescent="0.25">
      <c r="B45" s="17"/>
      <c r="C45" s="1049"/>
      <c r="D45" s="961" t="str" cm="1">
        <f t="array" aca="1" ref="D45" ca="1">IF(T46=1,INDIRECT("E"&amp;T47),"")</f>
        <v/>
      </c>
      <c r="E45" s="379"/>
      <c r="F45" s="379"/>
      <c r="G45" s="379"/>
      <c r="H45" s="379"/>
      <c r="I45" s="379"/>
      <c r="J45" s="379"/>
      <c r="K45" s="379"/>
      <c r="L45" s="379"/>
      <c r="M45" s="419" t="str">
        <f ca="1">Taal04!$B$264&amp;":"</f>
        <v>team selecteren:</v>
      </c>
      <c r="N45" s="1001" t="s">
        <v>62</v>
      </c>
      <c r="O45" s="202" t="s">
        <v>908</v>
      </c>
      <c r="P45" s="61"/>
      <c r="Q45" s="17"/>
      <c r="R45" s="1025">
        <f>IF(T46=1,1,0)</f>
        <v>0</v>
      </c>
      <c r="S45" s="980" t="str">
        <f>"Team "&amp;RIGHT("00"&amp;RIGHT(S40,2)*1+1,2)</f>
        <v>Team 07</v>
      </c>
      <c r="T45" s="981" t="str" cm="1">
        <f t="array" aca="1" ref="T45" ca="1">IF(AND($T$3=1,T46=1),INDIRECT("B"&amp;T47),"-")</f>
        <v>-</v>
      </c>
      <c r="U45" s="318"/>
      <c r="V45" s="318"/>
      <c r="W45" s="318"/>
      <c r="X45" s="318"/>
      <c r="Y45" s="318"/>
      <c r="Z45" s="318"/>
    </row>
    <row r="46" spans="2:43" ht="15" hidden="1" customHeight="1" x14ac:dyDescent="0.25">
      <c r="B46" s="17"/>
      <c r="C46" s="1049"/>
      <c r="D46" s="1426" t="str" cm="1">
        <f t="array" aca="1" ref="D46" ca="1">IF(AND(T46=1,T48=1),INDIRECT("G"&amp;T47),"")</f>
        <v/>
      </c>
      <c r="E46" s="1426"/>
      <c r="F46" s="1426"/>
      <c r="G46" s="1426"/>
      <c r="H46" s="1426"/>
      <c r="I46" s="1426"/>
      <c r="J46" s="1426"/>
      <c r="K46" s="1426"/>
      <c r="L46" s="1426"/>
      <c r="M46" s="1426"/>
      <c r="N46" s="1426"/>
      <c r="O46" s="1426"/>
      <c r="P46" s="61"/>
      <c r="Q46" s="17"/>
      <c r="R46" s="1025">
        <f ca="1">IF(T48=1,1,0)</f>
        <v>0</v>
      </c>
      <c r="S46" s="982" t="s">
        <v>2092</v>
      </c>
      <c r="T46" s="981">
        <f>IF(AND($T$3=1,RIGHT(S45,2)*1&lt;=$T$4),1,0)</f>
        <v>0</v>
      </c>
      <c r="U46" s="318"/>
      <c r="V46" s="318"/>
      <c r="W46" s="318"/>
      <c r="X46" s="318"/>
      <c r="Y46" s="318"/>
      <c r="Z46" s="318"/>
    </row>
    <row r="47" spans="2:43" ht="15" hidden="1" customHeight="1" x14ac:dyDescent="0.25">
      <c r="B47" s="17"/>
      <c r="C47" s="1049"/>
      <c r="D47" s="1426"/>
      <c r="E47" s="1426"/>
      <c r="F47" s="1426"/>
      <c r="G47" s="1426"/>
      <c r="H47" s="1426"/>
      <c r="I47" s="1426"/>
      <c r="J47" s="1426"/>
      <c r="K47" s="1426"/>
      <c r="L47" s="1426"/>
      <c r="M47" s="1426"/>
      <c r="N47" s="1426"/>
      <c r="O47" s="1426"/>
      <c r="P47" s="61"/>
      <c r="Q47" s="17"/>
      <c r="R47" s="1025">
        <f ca="1">IF(T48=1,1,0)</f>
        <v>0</v>
      </c>
      <c r="S47" s="982" t="s">
        <v>2095</v>
      </c>
      <c r="T47" s="981" t="str">
        <f>IF(T46=1,RIGHT(LEFT($T$11,RIGHT(S45,2)*3),3)*1,"-")</f>
        <v>-</v>
      </c>
      <c r="U47" s="318"/>
      <c r="V47" s="318"/>
      <c r="W47" s="318"/>
      <c r="X47" s="318"/>
      <c r="Y47" s="318"/>
      <c r="Z47" s="318"/>
    </row>
    <row r="48" spans="2:43" ht="15" hidden="1" customHeight="1" x14ac:dyDescent="0.25">
      <c r="B48" s="17"/>
      <c r="C48" s="1049"/>
      <c r="D48" s="1426"/>
      <c r="E48" s="1426"/>
      <c r="F48" s="1426"/>
      <c r="G48" s="1426"/>
      <c r="H48" s="1426"/>
      <c r="I48" s="1426"/>
      <c r="J48" s="1426"/>
      <c r="K48" s="1426"/>
      <c r="L48" s="1426"/>
      <c r="M48" s="1426"/>
      <c r="N48" s="1426"/>
      <c r="O48" s="1426"/>
      <c r="P48" s="61"/>
      <c r="Q48" s="17"/>
      <c r="R48" s="1025">
        <f ca="1">IF(T48=1,1,0)</f>
        <v>0</v>
      </c>
      <c r="S48" s="982" t="s">
        <v>2097</v>
      </c>
      <c r="T48" s="981" cm="1">
        <f t="array" aca="1" ref="T48" ca="1">IF(AND($T$3=1,T46=1),IF(OR(ISBLANK(INDIRECT("G"&amp;T47)),TRIM(INDIRECT("G"&amp;T47))=""),0,1),0)</f>
        <v>0</v>
      </c>
      <c r="U48" s="1420"/>
      <c r="V48" s="1021"/>
      <c r="W48" s="1021"/>
      <c r="X48" s="1021"/>
      <c r="Y48" s="1021"/>
      <c r="Z48" s="1021"/>
    </row>
    <row r="49" spans="2:26" ht="15" hidden="1" customHeight="1" x14ac:dyDescent="0.25">
      <c r="B49" s="17"/>
      <c r="C49" s="1049"/>
      <c r="D49" s="17"/>
      <c r="E49" s="17"/>
      <c r="F49" s="17"/>
      <c r="G49" s="17"/>
      <c r="H49" s="17"/>
      <c r="I49" s="17"/>
      <c r="J49" s="17"/>
      <c r="K49" s="17"/>
      <c r="L49" s="17"/>
      <c r="M49" s="17"/>
      <c r="N49" s="17"/>
      <c r="O49" s="17"/>
      <c r="P49" s="61"/>
      <c r="Q49" s="17"/>
      <c r="R49" s="1025">
        <f>IF(T46=1,1,0)</f>
        <v>0</v>
      </c>
      <c r="S49" s="982" t="s">
        <v>2098</v>
      </c>
      <c r="T49" s="981" cm="1">
        <f t="array" aca="1" ref="T49" ca="1">IF(AND(T46=1,SUBSTITUTE($T$12,"|"&amp;N45&amp;"|","####")&lt;&gt;$T$12),INDIRECT("M"&amp;T47),0)</f>
        <v>0</v>
      </c>
      <c r="U49" s="1420"/>
      <c r="V49" s="1021"/>
      <c r="W49" s="1021"/>
      <c r="X49" s="1021"/>
      <c r="Y49" s="1021"/>
      <c r="Z49" s="1021"/>
    </row>
    <row r="50" spans="2:26" ht="15" hidden="1" customHeight="1" x14ac:dyDescent="0.25">
      <c r="B50" s="17"/>
      <c r="C50" s="1049"/>
      <c r="D50" s="961" t="str" cm="1">
        <f t="array" aca="1" ref="D50" ca="1">IF(T51=1,INDIRECT("E"&amp;T52),"")</f>
        <v/>
      </c>
      <c r="E50" s="379"/>
      <c r="F50" s="379"/>
      <c r="G50" s="379"/>
      <c r="H50" s="379"/>
      <c r="I50" s="379"/>
      <c r="J50" s="379"/>
      <c r="K50" s="379"/>
      <c r="L50" s="379"/>
      <c r="M50" s="419" t="str">
        <f ca="1">Taal04!$B$264&amp;":"</f>
        <v>team selecteren:</v>
      </c>
      <c r="N50" s="1001" t="s">
        <v>62</v>
      </c>
      <c r="O50" s="202" t="s">
        <v>908</v>
      </c>
      <c r="P50" s="61"/>
      <c r="Q50" s="17"/>
      <c r="R50" s="1025">
        <f>IF(T51=1,1,0)</f>
        <v>0</v>
      </c>
      <c r="S50" s="983" t="str">
        <f>"Team "&amp;RIGHT("00"&amp;RIGHT(S45,2)*1+1,2)</f>
        <v>Team 08</v>
      </c>
      <c r="T50" s="984" t="str" cm="1">
        <f t="array" aca="1" ref="T50" ca="1">IF(AND($T$3=1,T51=1),INDIRECT("B"&amp;T52),"-")</f>
        <v>-</v>
      </c>
      <c r="U50" s="1420"/>
      <c r="V50" s="1021"/>
      <c r="W50" s="1021"/>
      <c r="X50" s="1021"/>
      <c r="Y50" s="1021"/>
      <c r="Z50" s="1021"/>
    </row>
    <row r="51" spans="2:26" ht="15" hidden="1" customHeight="1" x14ac:dyDescent="0.25">
      <c r="B51" s="17"/>
      <c r="C51" s="1049"/>
      <c r="D51" s="1426" t="str" cm="1">
        <f t="array" aca="1" ref="D51" ca="1">IF(AND(T51=1,T53=1),INDIRECT("G"&amp;T52),"")</f>
        <v/>
      </c>
      <c r="E51" s="1426"/>
      <c r="F51" s="1426"/>
      <c r="G51" s="1426"/>
      <c r="H51" s="1426"/>
      <c r="I51" s="1426"/>
      <c r="J51" s="1426"/>
      <c r="K51" s="1426"/>
      <c r="L51" s="1426"/>
      <c r="M51" s="1426"/>
      <c r="N51" s="1426"/>
      <c r="O51" s="1426"/>
      <c r="P51" s="61"/>
      <c r="Q51" s="17"/>
      <c r="R51" s="1025">
        <f ca="1">IF(T53=1,1,0)</f>
        <v>0</v>
      </c>
      <c r="S51" s="985" t="s">
        <v>2092</v>
      </c>
      <c r="T51" s="984">
        <f>IF(AND($T$3=1,RIGHT(S50,2)*1&lt;=$T$4),1,0)</f>
        <v>0</v>
      </c>
      <c r="U51" s="855"/>
      <c r="V51" s="318"/>
      <c r="W51" s="318"/>
      <c r="X51" s="318"/>
      <c r="Y51" s="417"/>
      <c r="Z51" s="318"/>
    </row>
    <row r="52" spans="2:26" ht="15" hidden="1" customHeight="1" x14ac:dyDescent="0.25">
      <c r="B52" s="17"/>
      <c r="C52" s="1049"/>
      <c r="D52" s="1426"/>
      <c r="E52" s="1426"/>
      <c r="F52" s="1426"/>
      <c r="G52" s="1426"/>
      <c r="H52" s="1426"/>
      <c r="I52" s="1426"/>
      <c r="J52" s="1426"/>
      <c r="K52" s="1426"/>
      <c r="L52" s="1426"/>
      <c r="M52" s="1426"/>
      <c r="N52" s="1426"/>
      <c r="O52" s="1426"/>
      <c r="P52" s="61"/>
      <c r="Q52" s="17"/>
      <c r="R52" s="1025">
        <f ca="1">IF(T53=1,1,0)</f>
        <v>0</v>
      </c>
      <c r="S52" s="985" t="s">
        <v>2095</v>
      </c>
      <c r="T52" s="984" t="str">
        <f>IF(T51=1,RIGHT(LEFT($T$11,RIGHT(S50,2)*3),3)*1,"-")</f>
        <v>-</v>
      </c>
      <c r="U52" s="1420"/>
      <c r="V52" s="1021"/>
      <c r="W52" s="1021"/>
      <c r="X52" s="1021"/>
      <c r="Y52" s="1021"/>
      <c r="Z52" s="1021"/>
    </row>
    <row r="53" spans="2:26" ht="15" hidden="1" customHeight="1" x14ac:dyDescent="0.25">
      <c r="B53" s="17"/>
      <c r="C53" s="1049"/>
      <c r="D53" s="1426"/>
      <c r="E53" s="1426"/>
      <c r="F53" s="1426"/>
      <c r="G53" s="1426"/>
      <c r="H53" s="1426"/>
      <c r="I53" s="1426"/>
      <c r="J53" s="1426"/>
      <c r="K53" s="1426"/>
      <c r="L53" s="1426"/>
      <c r="M53" s="1426"/>
      <c r="N53" s="1426"/>
      <c r="O53" s="1426"/>
      <c r="P53" s="61"/>
      <c r="Q53" s="17"/>
      <c r="R53" s="1025">
        <f ca="1">IF(T53=1,1,0)</f>
        <v>0</v>
      </c>
      <c r="S53" s="985" t="s">
        <v>2097</v>
      </c>
      <c r="T53" s="984" cm="1">
        <f t="array" aca="1" ref="T53" ca="1">IF(AND($T$3=1,T51=1),IF(OR(ISBLANK(INDIRECT("G"&amp;T52)),TRIM(INDIRECT("G"&amp;T52))=""),0,1),0)</f>
        <v>0</v>
      </c>
      <c r="U53" s="1420"/>
      <c r="V53" s="1021"/>
      <c r="W53" s="1021"/>
      <c r="X53" s="1021"/>
      <c r="Y53" s="1021"/>
      <c r="Z53" s="1021"/>
    </row>
    <row r="54" spans="2:26" ht="15" hidden="1" customHeight="1" x14ac:dyDescent="0.25">
      <c r="B54" s="17"/>
      <c r="C54" s="1049"/>
      <c r="D54" s="17"/>
      <c r="E54" s="17"/>
      <c r="F54" s="17"/>
      <c r="G54" s="17"/>
      <c r="H54" s="17"/>
      <c r="I54" s="17"/>
      <c r="J54" s="17"/>
      <c r="K54" s="17"/>
      <c r="L54" s="17"/>
      <c r="M54" s="17"/>
      <c r="N54" s="17"/>
      <c r="O54" s="17"/>
      <c r="P54" s="61"/>
      <c r="Q54" s="17"/>
      <c r="R54" s="1025">
        <f>IF(T51=1,1,0)</f>
        <v>0</v>
      </c>
      <c r="S54" s="985" t="s">
        <v>2098</v>
      </c>
      <c r="T54" s="984" cm="1">
        <f t="array" aca="1" ref="T54" ca="1">IF(AND(T51=1,SUBSTITUTE($T$12,"|"&amp;N50&amp;"|","####")&lt;&gt;$T$12),INDIRECT("M"&amp;T52),0)</f>
        <v>0</v>
      </c>
      <c r="U54" s="855"/>
      <c r="V54" s="318"/>
      <c r="W54" s="318"/>
      <c r="X54" s="318"/>
      <c r="Y54" s="318"/>
      <c r="Z54" s="318"/>
    </row>
    <row r="55" spans="2:26" ht="15" hidden="1" customHeight="1" x14ac:dyDescent="0.25">
      <c r="B55" s="17"/>
      <c r="C55" s="1049"/>
      <c r="D55" s="961" t="str" cm="1">
        <f t="array" aca="1" ref="D55" ca="1">IF(T56=1,INDIRECT("E"&amp;T57),"")</f>
        <v/>
      </c>
      <c r="E55" s="379"/>
      <c r="F55" s="379"/>
      <c r="G55" s="379"/>
      <c r="H55" s="379"/>
      <c r="I55" s="379"/>
      <c r="J55" s="379"/>
      <c r="K55" s="379"/>
      <c r="L55" s="379"/>
      <c r="M55" s="419" t="str">
        <f ca="1">Taal04!$B$264&amp;":"</f>
        <v>team selecteren:</v>
      </c>
      <c r="N55" s="1001" t="s">
        <v>62</v>
      </c>
      <c r="O55" s="202" t="s">
        <v>908</v>
      </c>
      <c r="P55" s="61"/>
      <c r="Q55" s="17"/>
      <c r="R55" s="1025">
        <f>IF(T56=1,1,0)</f>
        <v>0</v>
      </c>
      <c r="S55" s="986" t="str">
        <f>"Team "&amp;RIGHT("00"&amp;RIGHT(S50,2)*1+1,2)</f>
        <v>Team 09</v>
      </c>
      <c r="T55" s="987" t="str" cm="1">
        <f t="array" aca="1" ref="T55" ca="1">IF(AND($T$3=1,T56=1),INDIRECT("B"&amp;T57),"-")</f>
        <v>-</v>
      </c>
      <c r="U55" s="1420"/>
      <c r="V55" s="1021"/>
      <c r="W55" s="1021"/>
      <c r="X55" s="1021"/>
      <c r="Y55" s="1021"/>
      <c r="Z55" s="1021"/>
    </row>
    <row r="56" spans="2:26" ht="15" hidden="1" customHeight="1" x14ac:dyDescent="0.25">
      <c r="B56" s="17"/>
      <c r="C56" s="1049"/>
      <c r="D56" s="1426" t="str" cm="1">
        <f t="array" aca="1" ref="D56" ca="1">IF(AND(T56=1,T58=1),INDIRECT("G"&amp;T57),"")</f>
        <v/>
      </c>
      <c r="E56" s="1426"/>
      <c r="F56" s="1426"/>
      <c r="G56" s="1426"/>
      <c r="H56" s="1426"/>
      <c r="I56" s="1426"/>
      <c r="J56" s="1426"/>
      <c r="K56" s="1426"/>
      <c r="L56" s="1426"/>
      <c r="M56" s="1426"/>
      <c r="N56" s="1426"/>
      <c r="O56" s="1426"/>
      <c r="P56" s="61"/>
      <c r="Q56" s="17"/>
      <c r="R56" s="1025">
        <f ca="1">IF(T58=1,1,0)</f>
        <v>0</v>
      </c>
      <c r="S56" s="988" t="s">
        <v>2092</v>
      </c>
      <c r="T56" s="987">
        <f>IF(AND($T$3=1,RIGHT(S55,2)*1&lt;=$T$4),1,0)</f>
        <v>0</v>
      </c>
      <c r="U56" s="1420"/>
      <c r="V56" s="1021"/>
      <c r="W56" s="1021"/>
      <c r="X56" s="1021"/>
      <c r="Y56" s="1021"/>
      <c r="Z56" s="1021"/>
    </row>
    <row r="57" spans="2:26" ht="15" hidden="1" customHeight="1" x14ac:dyDescent="0.25">
      <c r="B57" s="17"/>
      <c r="C57" s="1049"/>
      <c r="D57" s="1426"/>
      <c r="E57" s="1426"/>
      <c r="F57" s="1426"/>
      <c r="G57" s="1426"/>
      <c r="H57" s="1426"/>
      <c r="I57" s="1426"/>
      <c r="J57" s="1426"/>
      <c r="K57" s="1426"/>
      <c r="L57" s="1426"/>
      <c r="M57" s="1426"/>
      <c r="N57" s="1426"/>
      <c r="O57" s="1426"/>
      <c r="P57" s="61"/>
      <c r="Q57" s="17"/>
      <c r="R57" s="1025">
        <f ca="1">IF(T58=1,1,0)</f>
        <v>0</v>
      </c>
      <c r="S57" s="988" t="s">
        <v>2095</v>
      </c>
      <c r="T57" s="987" t="str">
        <f>IF(T56=1,RIGHT(LEFT($T$11,RIGHT(S55,2)*3),3)*1,"-")</f>
        <v>-</v>
      </c>
      <c r="U57" s="1420"/>
      <c r="V57" s="1021"/>
      <c r="W57" s="1021"/>
      <c r="X57" s="1021"/>
      <c r="Y57" s="1021"/>
      <c r="Z57" s="1021"/>
    </row>
    <row r="58" spans="2:26" ht="15" hidden="1" customHeight="1" x14ac:dyDescent="0.25">
      <c r="B58" s="17"/>
      <c r="C58" s="1049"/>
      <c r="D58" s="1426"/>
      <c r="E58" s="1426"/>
      <c r="F58" s="1426"/>
      <c r="G58" s="1426"/>
      <c r="H58" s="1426"/>
      <c r="I58" s="1426"/>
      <c r="J58" s="1426"/>
      <c r="K58" s="1426"/>
      <c r="L58" s="1426"/>
      <c r="M58" s="1426"/>
      <c r="N58" s="1426"/>
      <c r="O58" s="1426"/>
      <c r="P58" s="61"/>
      <c r="Q58" s="17"/>
      <c r="R58" s="1025">
        <f ca="1">IF(T58=1,1,0)</f>
        <v>0</v>
      </c>
      <c r="S58" s="988" t="s">
        <v>2097</v>
      </c>
      <c r="T58" s="987" cm="1">
        <f t="array" aca="1" ref="T58" ca="1">IF(AND($T$3=1,T56=1),IF(OR(ISBLANK(INDIRECT("G"&amp;T57)),TRIM(INDIRECT("G"&amp;T57))=""),0,1),0)</f>
        <v>0</v>
      </c>
      <c r="U58" s="855"/>
      <c r="V58" s="318"/>
      <c r="W58" s="318"/>
      <c r="X58" s="318"/>
      <c r="Y58" s="318"/>
      <c r="Z58" s="318"/>
    </row>
    <row r="59" spans="2:26" ht="15" hidden="1" customHeight="1" x14ac:dyDescent="0.25">
      <c r="B59" s="17"/>
      <c r="C59" s="1049"/>
      <c r="D59" s="17"/>
      <c r="E59" s="17"/>
      <c r="F59" s="17"/>
      <c r="G59" s="17"/>
      <c r="H59" s="17"/>
      <c r="I59" s="17"/>
      <c r="J59" s="17"/>
      <c r="K59" s="17"/>
      <c r="L59" s="17"/>
      <c r="M59" s="17"/>
      <c r="N59" s="17"/>
      <c r="O59" s="17"/>
      <c r="P59" s="61"/>
      <c r="Q59" s="17"/>
      <c r="R59" s="1025">
        <f>IF(T56=1,1,0)</f>
        <v>0</v>
      </c>
      <c r="S59" s="988" t="s">
        <v>2098</v>
      </c>
      <c r="T59" s="987" cm="1">
        <f t="array" aca="1" ref="T59" ca="1">IF(AND(T56=1,SUBSTITUTE($T$12,"|"&amp;N55&amp;"|","####")&lt;&gt;$T$12),INDIRECT("M"&amp;T57),0)</f>
        <v>0</v>
      </c>
      <c r="U59" s="1420"/>
      <c r="V59" s="1021"/>
      <c r="W59" s="1021"/>
      <c r="X59" s="1021"/>
      <c r="Y59" s="1021"/>
      <c r="Z59" s="1021"/>
    </row>
    <row r="60" spans="2:26" ht="15" hidden="1" customHeight="1" x14ac:dyDescent="0.25">
      <c r="B60" s="17"/>
      <c r="C60" s="1049"/>
      <c r="D60" s="961" t="str" cm="1">
        <f t="array" aca="1" ref="D60" ca="1">IF(T61=1,INDIRECT("E"&amp;T62),"")</f>
        <v/>
      </c>
      <c r="E60" s="379"/>
      <c r="F60" s="379"/>
      <c r="G60" s="379"/>
      <c r="H60" s="379"/>
      <c r="I60" s="379"/>
      <c r="J60" s="379"/>
      <c r="K60" s="379"/>
      <c r="L60" s="379"/>
      <c r="M60" s="419" t="str">
        <f ca="1">Taal04!$B$264&amp;":"</f>
        <v>team selecteren:</v>
      </c>
      <c r="N60" s="1001" t="s">
        <v>62</v>
      </c>
      <c r="O60" s="202" t="s">
        <v>908</v>
      </c>
      <c r="P60" s="61"/>
      <c r="Q60" s="17"/>
      <c r="R60" s="1025">
        <f>IF(T61=1,1,0)</f>
        <v>0</v>
      </c>
      <c r="S60" s="989" t="str">
        <f>"Team "&amp;RIGHT("00"&amp;RIGHT(S55,2)*1+1,2)</f>
        <v>Team 10</v>
      </c>
      <c r="T60" s="990" t="str" cm="1">
        <f t="array" aca="1" ref="T60" ca="1">IF(AND($T$3=1,T61=1),INDIRECT("B"&amp;T62),"-")</f>
        <v>-</v>
      </c>
      <c r="U60" s="1420"/>
      <c r="V60" s="1021"/>
      <c r="W60" s="1021"/>
      <c r="X60" s="1021"/>
      <c r="Y60" s="1021"/>
      <c r="Z60" s="1021"/>
    </row>
    <row r="61" spans="2:26" ht="15" hidden="1" customHeight="1" x14ac:dyDescent="0.25">
      <c r="B61" s="17"/>
      <c r="C61" s="1049"/>
      <c r="D61" s="1426" t="str" cm="1">
        <f t="array" aca="1" ref="D61" ca="1">IF(AND(T61=1,T63=1),INDIRECT("G"&amp;T62),"")</f>
        <v/>
      </c>
      <c r="E61" s="1426"/>
      <c r="F61" s="1426"/>
      <c r="G61" s="1426"/>
      <c r="H61" s="1426"/>
      <c r="I61" s="1426"/>
      <c r="J61" s="1426"/>
      <c r="K61" s="1426"/>
      <c r="L61" s="1426"/>
      <c r="M61" s="1426"/>
      <c r="N61" s="1426"/>
      <c r="O61" s="1426"/>
      <c r="P61" s="61"/>
      <c r="Q61" s="17"/>
      <c r="R61" s="1025">
        <f ca="1">IF(T63=1,1,0)</f>
        <v>0</v>
      </c>
      <c r="S61" s="790" t="s">
        <v>2092</v>
      </c>
      <c r="T61" s="990">
        <f>IF(AND($T$3=1,RIGHT(S60,2)*1&lt;=$T$4),1,0)</f>
        <v>0</v>
      </c>
      <c r="U61" s="855"/>
      <c r="V61" s="318"/>
      <c r="W61" s="318"/>
      <c r="X61" s="318"/>
      <c r="Y61" s="318"/>
      <c r="Z61" s="318"/>
    </row>
    <row r="62" spans="2:26" ht="15" hidden="1" customHeight="1" x14ac:dyDescent="0.25">
      <c r="B62" s="17"/>
      <c r="C62" s="1049"/>
      <c r="D62" s="1426"/>
      <c r="E62" s="1426"/>
      <c r="F62" s="1426"/>
      <c r="G62" s="1426"/>
      <c r="H62" s="1426"/>
      <c r="I62" s="1426"/>
      <c r="J62" s="1426"/>
      <c r="K62" s="1426"/>
      <c r="L62" s="1426"/>
      <c r="M62" s="1426"/>
      <c r="N62" s="1426"/>
      <c r="O62" s="1426"/>
      <c r="P62" s="61"/>
      <c r="Q62" s="17"/>
      <c r="R62" s="1025">
        <f ca="1">IF(T63=1,1,0)</f>
        <v>0</v>
      </c>
      <c r="S62" s="790" t="s">
        <v>2095</v>
      </c>
      <c r="T62" s="990" t="str">
        <f>IF(T61=1,RIGHT(LEFT($T$11,RIGHT(S60,2)*3),3)*1,"-")</f>
        <v>-</v>
      </c>
      <c r="U62" s="855"/>
      <c r="V62" s="318"/>
      <c r="W62" s="318"/>
      <c r="X62" s="318"/>
      <c r="Y62" s="318"/>
      <c r="Z62" s="318"/>
    </row>
    <row r="63" spans="2:26" ht="15" hidden="1" customHeight="1" x14ac:dyDescent="0.25">
      <c r="B63" s="17"/>
      <c r="C63" s="1049"/>
      <c r="D63" s="1426"/>
      <c r="E63" s="1426"/>
      <c r="F63" s="1426"/>
      <c r="G63" s="1426"/>
      <c r="H63" s="1426"/>
      <c r="I63" s="1426"/>
      <c r="J63" s="1426"/>
      <c r="K63" s="1426"/>
      <c r="L63" s="1426"/>
      <c r="M63" s="1426"/>
      <c r="N63" s="1426"/>
      <c r="O63" s="1426"/>
      <c r="P63" s="61"/>
      <c r="Q63" s="17"/>
      <c r="R63" s="1025">
        <f ca="1">IF(T63=1,1,0)</f>
        <v>0</v>
      </c>
      <c r="S63" s="790" t="s">
        <v>2097</v>
      </c>
      <c r="T63" s="990" cm="1">
        <f t="array" aca="1" ref="T63" ca="1">IF(AND($T$3=1,T61=1),IF(OR(ISBLANK(INDIRECT("G"&amp;T62)),TRIM(INDIRECT("G"&amp;T62))=""),0,1),0)</f>
        <v>0</v>
      </c>
      <c r="U63" s="855"/>
      <c r="V63" s="318"/>
      <c r="W63" s="318"/>
      <c r="X63" s="318"/>
      <c r="Y63" s="318"/>
      <c r="Z63" s="318"/>
    </row>
    <row r="64" spans="2:26" ht="15" hidden="1" customHeight="1" x14ac:dyDescent="0.25">
      <c r="B64" s="17"/>
      <c r="C64" s="1049"/>
      <c r="D64" s="17"/>
      <c r="E64" s="17"/>
      <c r="F64" s="17"/>
      <c r="G64" s="17"/>
      <c r="H64" s="17"/>
      <c r="I64" s="17"/>
      <c r="J64" s="17"/>
      <c r="K64" s="17"/>
      <c r="L64" s="17"/>
      <c r="M64" s="17"/>
      <c r="N64" s="17"/>
      <c r="O64" s="17"/>
      <c r="P64" s="61"/>
      <c r="Q64" s="17"/>
      <c r="R64" s="1025">
        <f>IF(T61=1,1,0)</f>
        <v>0</v>
      </c>
      <c r="S64" s="790" t="s">
        <v>2098</v>
      </c>
      <c r="T64" s="990" cm="1">
        <f t="array" aca="1" ref="T64" ca="1">IF(AND(T61=1,SUBSTITUTE($T$12,"|"&amp;N60&amp;"|","####")&lt;&gt;$T$12),INDIRECT("M"&amp;T62),0)</f>
        <v>0</v>
      </c>
      <c r="U64" s="855"/>
      <c r="V64" s="318"/>
      <c r="W64" s="1018"/>
      <c r="X64" s="318"/>
      <c r="Y64" s="318"/>
      <c r="Z64" s="318"/>
    </row>
    <row r="65" spans="2:26" ht="15" hidden="1" customHeight="1" x14ac:dyDescent="0.25">
      <c r="B65" s="17"/>
      <c r="C65" s="1049"/>
      <c r="D65" s="17"/>
      <c r="E65" s="17"/>
      <c r="F65" s="17"/>
      <c r="G65" s="17"/>
      <c r="H65" s="17"/>
      <c r="I65" s="17"/>
      <c r="J65" s="17"/>
      <c r="K65" s="17"/>
      <c r="L65" s="17"/>
      <c r="M65" s="17"/>
      <c r="N65" s="17"/>
      <c r="O65" s="17"/>
      <c r="P65" s="61"/>
      <c r="Q65" s="17"/>
      <c r="R65" s="1026">
        <f ca="1">IF($S$134=2,IF(T65=T71,0,1),0)</f>
        <v>0</v>
      </c>
      <c r="S65" s="306" t="s">
        <v>2210</v>
      </c>
      <c r="T65" s="219" t="str">
        <f ca="1">IF($S$134=2,IF(SUM($R$3:R64)&lt;$S$128,"↑ PAGINA 1","↓ PAGINA 2"),"n.v.t.")</f>
        <v>n.v.t.</v>
      </c>
      <c r="U65" s="855"/>
      <c r="V65" s="318"/>
      <c r="W65" s="318"/>
      <c r="X65" s="318"/>
      <c r="Y65" s="318"/>
      <c r="Z65" s="318"/>
    </row>
    <row r="66" spans="2:26" ht="15" hidden="1" customHeight="1" x14ac:dyDescent="0.25">
      <c r="B66" s="17"/>
      <c r="C66" s="1049"/>
      <c r="D66" s="961" t="str" cm="1">
        <f t="array" aca="1" ref="D66" ca="1">IF(T67=1,INDIRECT("E"&amp;T68),"")</f>
        <v/>
      </c>
      <c r="E66" s="379"/>
      <c r="F66" s="379"/>
      <c r="G66" s="379"/>
      <c r="H66" s="379"/>
      <c r="I66" s="379"/>
      <c r="J66" s="379"/>
      <c r="K66" s="379"/>
      <c r="L66" s="379"/>
      <c r="M66" s="419" t="str">
        <f ca="1">Taal04!$B$264&amp;":"</f>
        <v>team selecteren:</v>
      </c>
      <c r="N66" s="1001" t="s">
        <v>62</v>
      </c>
      <c r="O66" s="202" t="s">
        <v>908</v>
      </c>
      <c r="P66" s="61"/>
      <c r="Q66" s="17"/>
      <c r="R66" s="1025">
        <f>IF(T67=1,1,0)</f>
        <v>0</v>
      </c>
      <c r="S66" s="292" t="str">
        <f>"Team "&amp;RIGHT("00"&amp;RIGHT(S60,2)*1+1,2)</f>
        <v>Team 11</v>
      </c>
      <c r="T66" s="470" t="str" cm="1">
        <f t="array" aca="1" ref="T66" ca="1">IF(AND($T$3=1,T67=1),INDIRECT("B"&amp;T68),"-")</f>
        <v>-</v>
      </c>
      <c r="U66" s="855"/>
      <c r="V66" s="318"/>
      <c r="W66" s="318"/>
      <c r="X66" s="318"/>
      <c r="Y66" s="318"/>
      <c r="Z66" s="318"/>
    </row>
    <row r="67" spans="2:26" ht="15" hidden="1" customHeight="1" x14ac:dyDescent="0.25">
      <c r="B67" s="17"/>
      <c r="C67" s="1049"/>
      <c r="D67" s="1426" t="str" cm="1">
        <f t="array" aca="1" ref="D67" ca="1">IF(AND(T67=1,T69=1),INDIRECT("G"&amp;T68),"")</f>
        <v/>
      </c>
      <c r="E67" s="1426"/>
      <c r="F67" s="1426"/>
      <c r="G67" s="1426"/>
      <c r="H67" s="1426"/>
      <c r="I67" s="1426"/>
      <c r="J67" s="1426"/>
      <c r="K67" s="1426"/>
      <c r="L67" s="1426"/>
      <c r="M67" s="1426"/>
      <c r="N67" s="1426"/>
      <c r="O67" s="1426"/>
      <c r="P67" s="61"/>
      <c r="Q67" s="17"/>
      <c r="R67" s="1025">
        <f ca="1">IF(T69=1,1,0)</f>
        <v>0</v>
      </c>
      <c r="S67" s="991" t="s">
        <v>2092</v>
      </c>
      <c r="T67" s="470">
        <f>IF(AND($T$3=1,RIGHT(S66,2)*1&lt;=$T$4),1,0)</f>
        <v>0</v>
      </c>
      <c r="U67" s="855"/>
      <c r="V67" s="318"/>
      <c r="W67" s="318"/>
      <c r="X67" s="318"/>
      <c r="Y67" s="318"/>
      <c r="Z67" s="318"/>
    </row>
    <row r="68" spans="2:26" ht="15" hidden="1" customHeight="1" x14ac:dyDescent="0.25">
      <c r="B68" s="17"/>
      <c r="C68" s="1049"/>
      <c r="D68" s="1426"/>
      <c r="E68" s="1426"/>
      <c r="F68" s="1426"/>
      <c r="G68" s="1426"/>
      <c r="H68" s="1426"/>
      <c r="I68" s="1426"/>
      <c r="J68" s="1426"/>
      <c r="K68" s="1426"/>
      <c r="L68" s="1426"/>
      <c r="M68" s="1426"/>
      <c r="N68" s="1426"/>
      <c r="O68" s="1426"/>
      <c r="P68" s="61"/>
      <c r="Q68" s="17"/>
      <c r="R68" s="1025">
        <f ca="1">IF(T69=1,1,0)</f>
        <v>0</v>
      </c>
      <c r="S68" s="991" t="s">
        <v>2095</v>
      </c>
      <c r="T68" s="470" t="str">
        <f>IF(T67=1,RIGHT(LEFT($T$11,RIGHT(S66,2)*3),3)*1,"-")</f>
        <v>-</v>
      </c>
      <c r="U68" s="855"/>
      <c r="V68" s="318"/>
      <c r="W68" s="318"/>
      <c r="X68" s="318"/>
      <c r="Y68" s="318"/>
      <c r="Z68" s="318"/>
    </row>
    <row r="69" spans="2:26" ht="15" hidden="1" customHeight="1" x14ac:dyDescent="0.25">
      <c r="B69" s="17"/>
      <c r="C69" s="1049"/>
      <c r="D69" s="1426"/>
      <c r="E69" s="1426"/>
      <c r="F69" s="1426"/>
      <c r="G69" s="1426"/>
      <c r="H69" s="1426"/>
      <c r="I69" s="1426"/>
      <c r="J69" s="1426"/>
      <c r="K69" s="1426"/>
      <c r="L69" s="1426"/>
      <c r="M69" s="1426"/>
      <c r="N69" s="1426"/>
      <c r="O69" s="1426"/>
      <c r="P69" s="61"/>
      <c r="Q69" s="17"/>
      <c r="R69" s="1025">
        <f ca="1">IF(T69=1,1,0)</f>
        <v>0</v>
      </c>
      <c r="S69" s="991" t="s">
        <v>2097</v>
      </c>
      <c r="T69" s="470" cm="1">
        <f t="array" aca="1" ref="T69" ca="1">IF(AND($T$3=1,T67=1),IF(OR(ISBLANK(INDIRECT("G"&amp;T68)),TRIM(INDIRECT("G"&amp;T68))=""),0,1),0)</f>
        <v>0</v>
      </c>
      <c r="U69" s="855"/>
      <c r="V69" s="318"/>
      <c r="W69" s="318"/>
      <c r="X69" s="318"/>
      <c r="Y69" s="318"/>
      <c r="Z69" s="318"/>
    </row>
    <row r="70" spans="2:26" ht="15" hidden="1" customHeight="1" x14ac:dyDescent="0.25">
      <c r="B70" s="17"/>
      <c r="C70" s="1049"/>
      <c r="D70" s="17"/>
      <c r="E70" s="17"/>
      <c r="F70" s="17"/>
      <c r="G70" s="17"/>
      <c r="H70" s="17"/>
      <c r="I70" s="17"/>
      <c r="J70" s="17"/>
      <c r="K70" s="17"/>
      <c r="L70" s="17"/>
      <c r="M70" s="17"/>
      <c r="N70" s="17"/>
      <c r="O70" s="17"/>
      <c r="P70" s="61"/>
      <c r="Q70" s="17"/>
      <c r="R70" s="1025">
        <f>IF(T67=1,1,0)</f>
        <v>0</v>
      </c>
      <c r="S70" s="991" t="s">
        <v>2098</v>
      </c>
      <c r="T70" s="470" cm="1">
        <f t="array" aca="1" ref="T70" ca="1">IF(AND(T67=1,SUBSTITUTE($T$12,"|"&amp;N66&amp;"|","####")&lt;&gt;$T$12),INDIRECT("M"&amp;T68),0)</f>
        <v>0</v>
      </c>
      <c r="U70" s="855"/>
      <c r="V70" s="318"/>
      <c r="W70" s="318"/>
      <c r="X70" s="318"/>
      <c r="Y70" s="318"/>
      <c r="Z70" s="318"/>
    </row>
    <row r="71" spans="2:26" ht="15" hidden="1" customHeight="1" x14ac:dyDescent="0.25">
      <c r="B71" s="17"/>
      <c r="C71" s="1049"/>
      <c r="D71" s="17"/>
      <c r="E71" s="17"/>
      <c r="F71" s="17"/>
      <c r="G71" s="17"/>
      <c r="H71" s="17"/>
      <c r="I71" s="17"/>
      <c r="J71" s="17"/>
      <c r="K71" s="17"/>
      <c r="L71" s="17"/>
      <c r="M71" s="17"/>
      <c r="N71" s="17"/>
      <c r="O71" s="17"/>
      <c r="P71" s="61"/>
      <c r="Q71" s="17"/>
      <c r="R71" s="1026">
        <f ca="1">IF($S$134=2,IF(T71=T77,0,1),0)</f>
        <v>0</v>
      </c>
      <c r="S71" s="306" t="s">
        <v>2210</v>
      </c>
      <c r="T71" s="219" t="str">
        <f ca="1">IF($S$134=2,IF(SUM(R3:R64,R66:R70)&lt;$S$128,"↑ PAGINA 1","↓ PAGINA 2"),"n.v.t.")</f>
        <v>n.v.t.</v>
      </c>
      <c r="U71" s="855"/>
      <c r="V71" s="318"/>
      <c r="W71" s="318"/>
      <c r="X71" s="318"/>
      <c r="Y71" s="318"/>
      <c r="Z71" s="318"/>
    </row>
    <row r="72" spans="2:26" ht="15" hidden="1" customHeight="1" x14ac:dyDescent="0.25">
      <c r="B72" s="17"/>
      <c r="C72" s="1049"/>
      <c r="D72" s="961" t="str" cm="1">
        <f t="array" aca="1" ref="D72" ca="1">IF(T73=1,INDIRECT("E"&amp;T74),"")</f>
        <v/>
      </c>
      <c r="E72" s="379"/>
      <c r="F72" s="379"/>
      <c r="G72" s="379"/>
      <c r="H72" s="379"/>
      <c r="I72" s="379"/>
      <c r="J72" s="379"/>
      <c r="K72" s="379"/>
      <c r="L72" s="379"/>
      <c r="M72" s="419" t="str">
        <f ca="1">Taal04!$B$264&amp;":"</f>
        <v>team selecteren:</v>
      </c>
      <c r="N72" s="1001" t="s">
        <v>62</v>
      </c>
      <c r="O72" s="202" t="s">
        <v>908</v>
      </c>
      <c r="P72" s="61"/>
      <c r="Q72" s="17"/>
      <c r="R72" s="1025">
        <f>IF(T73=1,1,0)</f>
        <v>0</v>
      </c>
      <c r="S72" s="992" t="str">
        <f>"Team "&amp;RIGHT("00"&amp;RIGHT(S66,2)*1+1,2)</f>
        <v>Team 12</v>
      </c>
      <c r="T72" s="515" t="str" cm="1">
        <f t="array" aca="1" ref="T72" ca="1">IF(AND($T$3=1,T73=1),INDIRECT("B"&amp;T74),"-")</f>
        <v>-</v>
      </c>
      <c r="U72" s="855"/>
      <c r="V72" s="318"/>
      <c r="W72" s="318"/>
      <c r="X72" s="318"/>
      <c r="Y72" s="318"/>
      <c r="Z72" s="318"/>
    </row>
    <row r="73" spans="2:26" ht="15" hidden="1" customHeight="1" x14ac:dyDescent="0.25">
      <c r="B73" s="17"/>
      <c r="C73" s="1049"/>
      <c r="D73" s="1426" t="str" cm="1">
        <f t="array" aca="1" ref="D73" ca="1">IF(AND(T73=1,T75=1),INDIRECT("G"&amp;T74),"")</f>
        <v/>
      </c>
      <c r="E73" s="1426"/>
      <c r="F73" s="1426"/>
      <c r="G73" s="1426"/>
      <c r="H73" s="1426"/>
      <c r="I73" s="1426"/>
      <c r="J73" s="1426"/>
      <c r="K73" s="1426"/>
      <c r="L73" s="1426"/>
      <c r="M73" s="1426"/>
      <c r="N73" s="1426"/>
      <c r="O73" s="1426"/>
      <c r="P73" s="61"/>
      <c r="Q73" s="17"/>
      <c r="R73" s="1025">
        <f ca="1">IF(T75=1,1,0)</f>
        <v>0</v>
      </c>
      <c r="S73" s="993" t="s">
        <v>2092</v>
      </c>
      <c r="T73" s="515">
        <f>IF(AND($T$3=1,RIGHT(S72,2)*1&lt;=$T$4),1,0)</f>
        <v>0</v>
      </c>
      <c r="U73" s="855"/>
      <c r="V73" s="318"/>
      <c r="W73" s="318"/>
      <c r="X73" s="318"/>
      <c r="Y73" s="318"/>
      <c r="Z73" s="318"/>
    </row>
    <row r="74" spans="2:26" ht="15" hidden="1" customHeight="1" x14ac:dyDescent="0.25">
      <c r="B74" s="17"/>
      <c r="C74" s="1049"/>
      <c r="D74" s="1426"/>
      <c r="E74" s="1426"/>
      <c r="F74" s="1426"/>
      <c r="G74" s="1426"/>
      <c r="H74" s="1426"/>
      <c r="I74" s="1426"/>
      <c r="J74" s="1426"/>
      <c r="K74" s="1426"/>
      <c r="L74" s="1426"/>
      <c r="M74" s="1426"/>
      <c r="N74" s="1426"/>
      <c r="O74" s="1426"/>
      <c r="P74" s="61"/>
      <c r="Q74" s="17"/>
      <c r="R74" s="1025">
        <f ca="1">IF(T75=1,1,0)</f>
        <v>0</v>
      </c>
      <c r="S74" s="993" t="s">
        <v>2095</v>
      </c>
      <c r="T74" s="515" t="str">
        <f>IF(T73=1,RIGHT(LEFT($T$11,RIGHT(S72,2)*3),3)*1,"-")</f>
        <v>-</v>
      </c>
      <c r="U74" s="855"/>
      <c r="V74" s="318"/>
      <c r="W74" s="318"/>
      <c r="X74" s="318"/>
      <c r="Y74" s="318"/>
      <c r="Z74" s="318"/>
    </row>
    <row r="75" spans="2:26" ht="15" hidden="1" customHeight="1" x14ac:dyDescent="0.25">
      <c r="B75" s="17"/>
      <c r="C75" s="1049"/>
      <c r="D75" s="1426"/>
      <c r="E75" s="1426"/>
      <c r="F75" s="1426"/>
      <c r="G75" s="1426"/>
      <c r="H75" s="1426"/>
      <c r="I75" s="1426"/>
      <c r="J75" s="1426"/>
      <c r="K75" s="1426"/>
      <c r="L75" s="1426"/>
      <c r="M75" s="1426"/>
      <c r="N75" s="1426"/>
      <c r="O75" s="1426"/>
      <c r="P75" s="61"/>
      <c r="Q75" s="17"/>
      <c r="R75" s="1025">
        <f ca="1">IF(T75=1,1,0)</f>
        <v>0</v>
      </c>
      <c r="S75" s="993" t="s">
        <v>2097</v>
      </c>
      <c r="T75" s="515" cm="1">
        <f t="array" aca="1" ref="T75" ca="1">IF(AND($T$3=1,T73=1),IF(OR(ISBLANK(INDIRECT("G"&amp;T74)),TRIM(INDIRECT("G"&amp;T74))=""),0,1),0)</f>
        <v>0</v>
      </c>
      <c r="U75" s="855"/>
      <c r="V75" s="318"/>
      <c r="W75" s="318"/>
      <c r="X75" s="318"/>
      <c r="Y75" s="318"/>
      <c r="Z75" s="318"/>
    </row>
    <row r="76" spans="2:26" ht="15" hidden="1" customHeight="1" x14ac:dyDescent="0.25">
      <c r="B76" s="17"/>
      <c r="C76" s="1049"/>
      <c r="D76" s="17"/>
      <c r="E76" s="17"/>
      <c r="F76" s="17"/>
      <c r="G76" s="17"/>
      <c r="H76" s="17"/>
      <c r="I76" s="17"/>
      <c r="J76" s="17"/>
      <c r="K76" s="17"/>
      <c r="L76" s="17"/>
      <c r="M76" s="17"/>
      <c r="N76" s="17"/>
      <c r="O76" s="17"/>
      <c r="P76" s="61"/>
      <c r="Q76" s="17"/>
      <c r="R76" s="1025">
        <f>IF(T73=1,1,0)</f>
        <v>0</v>
      </c>
      <c r="S76" s="993" t="s">
        <v>2098</v>
      </c>
      <c r="T76" s="515" cm="1">
        <f t="array" aca="1" ref="T76" ca="1">IF(AND(T73=1,SUBSTITUTE($T$12,"|"&amp;N72&amp;"|","####")&lt;&gt;$T$12),INDIRECT("M"&amp;T74),0)</f>
        <v>0</v>
      </c>
      <c r="U76" s="855"/>
      <c r="V76" s="318"/>
      <c r="W76" s="318"/>
      <c r="X76" s="318"/>
      <c r="Y76" s="318"/>
      <c r="Z76" s="318"/>
    </row>
    <row r="77" spans="2:26" ht="15" hidden="1" customHeight="1" x14ac:dyDescent="0.25">
      <c r="B77" s="17"/>
      <c r="C77" s="1049"/>
      <c r="D77" s="17"/>
      <c r="E77" s="17"/>
      <c r="F77" s="17"/>
      <c r="G77" s="17"/>
      <c r="H77" s="17"/>
      <c r="I77" s="17"/>
      <c r="J77" s="17"/>
      <c r="K77" s="17"/>
      <c r="L77" s="17"/>
      <c r="M77" s="17"/>
      <c r="N77" s="17"/>
      <c r="O77" s="17"/>
      <c r="P77" s="61"/>
      <c r="Q77" s="17"/>
      <c r="R77" s="1026">
        <f ca="1">IF($S$134=2,IF(T77=T83,0,1),0)</f>
        <v>0</v>
      </c>
      <c r="S77" s="306" t="s">
        <v>2210</v>
      </c>
      <c r="T77" s="219" t="str">
        <f ca="1">IF($S$134=2,IF(SUM(R3:R64,R66:R70,R72:R76)&lt;$S$128,"↑ PAGINA 1","↓ PAGINA 2"),"n.v.t.")</f>
        <v>n.v.t.</v>
      </c>
      <c r="U77" s="855"/>
      <c r="V77" s="318"/>
      <c r="W77" s="318"/>
      <c r="X77" s="318"/>
      <c r="Y77" s="318"/>
      <c r="Z77" s="318"/>
    </row>
    <row r="78" spans="2:26" ht="15" hidden="1" customHeight="1" x14ac:dyDescent="0.25">
      <c r="B78" s="17"/>
      <c r="C78" s="1049"/>
      <c r="D78" s="961" t="str" cm="1">
        <f t="array" aca="1" ref="D78" ca="1">IF(T79=1,INDIRECT("E"&amp;T80),"")</f>
        <v/>
      </c>
      <c r="E78" s="379"/>
      <c r="F78" s="379"/>
      <c r="G78" s="379"/>
      <c r="H78" s="379"/>
      <c r="I78" s="379"/>
      <c r="J78" s="379"/>
      <c r="K78" s="379"/>
      <c r="L78" s="379"/>
      <c r="M78" s="419" t="str">
        <f ca="1">Taal04!$B$264&amp;":"</f>
        <v>team selecteren:</v>
      </c>
      <c r="N78" s="1001" t="s">
        <v>62</v>
      </c>
      <c r="O78" s="202" t="s">
        <v>908</v>
      </c>
      <c r="P78" s="61"/>
      <c r="Q78" s="17"/>
      <c r="R78" s="1025">
        <f>IF(T79=1,1,0)</f>
        <v>0</v>
      </c>
      <c r="S78" s="994" t="str">
        <f>"Team "&amp;RIGHT("00"&amp;RIGHT(S72,2)*1+1,2)</f>
        <v>Team 13</v>
      </c>
      <c r="T78" s="995" t="str" cm="1">
        <f t="array" aca="1" ref="T78" ca="1">IF(AND($T$3=1,T79=1),INDIRECT("B"&amp;T80),"-")</f>
        <v>-</v>
      </c>
      <c r="U78" s="855"/>
      <c r="V78" s="318"/>
      <c r="W78" s="318"/>
      <c r="X78" s="318"/>
      <c r="Y78" s="318"/>
      <c r="Z78" s="318"/>
    </row>
    <row r="79" spans="2:26" ht="15" hidden="1" customHeight="1" x14ac:dyDescent="0.25">
      <c r="B79" s="17"/>
      <c r="C79" s="1049"/>
      <c r="D79" s="1426" t="str" cm="1">
        <f t="array" aca="1" ref="D79" ca="1">IF(AND(T79=1,T81=1),INDIRECT("G"&amp;T80),"")</f>
        <v/>
      </c>
      <c r="E79" s="1426"/>
      <c r="F79" s="1426"/>
      <c r="G79" s="1426"/>
      <c r="H79" s="1426"/>
      <c r="I79" s="1426"/>
      <c r="J79" s="1426"/>
      <c r="K79" s="1426"/>
      <c r="L79" s="1426"/>
      <c r="M79" s="1426"/>
      <c r="N79" s="1426"/>
      <c r="O79" s="1426"/>
      <c r="P79" s="61"/>
      <c r="Q79" s="17"/>
      <c r="R79" s="1025">
        <f ca="1">IF(T81=1,1,0)</f>
        <v>0</v>
      </c>
      <c r="S79" s="236" t="s">
        <v>2092</v>
      </c>
      <c r="T79" s="995">
        <f>IF(AND($T$3=1,RIGHT(S78,2)*1&lt;=$T$4),1,0)</f>
        <v>0</v>
      </c>
      <c r="U79" s="855"/>
      <c r="V79" s="318"/>
      <c r="W79" s="318"/>
      <c r="X79" s="318"/>
      <c r="Y79" s="318"/>
      <c r="Z79" s="318"/>
    </row>
    <row r="80" spans="2:26" ht="15" hidden="1" customHeight="1" x14ac:dyDescent="0.25">
      <c r="B80" s="17"/>
      <c r="C80" s="1049"/>
      <c r="D80" s="1426"/>
      <c r="E80" s="1426"/>
      <c r="F80" s="1426"/>
      <c r="G80" s="1426"/>
      <c r="H80" s="1426"/>
      <c r="I80" s="1426"/>
      <c r="J80" s="1426"/>
      <c r="K80" s="1426"/>
      <c r="L80" s="1426"/>
      <c r="M80" s="1426"/>
      <c r="N80" s="1426"/>
      <c r="O80" s="1426"/>
      <c r="P80" s="61"/>
      <c r="Q80" s="17"/>
      <c r="R80" s="1025">
        <f ca="1">IF(T81=1,1,0)</f>
        <v>0</v>
      </c>
      <c r="S80" s="236" t="s">
        <v>2095</v>
      </c>
      <c r="T80" s="995" t="str">
        <f>IF(T79=1,RIGHT(LEFT($T$11,RIGHT(S78,2)*3),3)*1,"-")</f>
        <v>-</v>
      </c>
      <c r="U80" s="855"/>
      <c r="V80" s="318"/>
      <c r="W80" s="318"/>
      <c r="X80" s="318"/>
      <c r="Y80" s="318"/>
      <c r="Z80" s="318"/>
    </row>
    <row r="81" spans="2:26" ht="15" hidden="1" customHeight="1" x14ac:dyDescent="0.25">
      <c r="B81" s="17"/>
      <c r="C81" s="1049"/>
      <c r="D81" s="1426"/>
      <c r="E81" s="1426"/>
      <c r="F81" s="1426"/>
      <c r="G81" s="1426"/>
      <c r="H81" s="1426"/>
      <c r="I81" s="1426"/>
      <c r="J81" s="1426"/>
      <c r="K81" s="1426"/>
      <c r="L81" s="1426"/>
      <c r="M81" s="1426"/>
      <c r="N81" s="1426"/>
      <c r="O81" s="1426"/>
      <c r="P81" s="61"/>
      <c r="Q81" s="17"/>
      <c r="R81" s="1025">
        <f ca="1">IF(T81=1,1,0)</f>
        <v>0</v>
      </c>
      <c r="S81" s="236" t="s">
        <v>2097</v>
      </c>
      <c r="T81" s="995" cm="1">
        <f t="array" aca="1" ref="T81" ca="1">IF(AND($T$3=1,T79=1),IF(OR(ISBLANK(INDIRECT("G"&amp;T80)),TRIM(INDIRECT("G"&amp;T80))=""),0,1),0)</f>
        <v>0</v>
      </c>
      <c r="U81" s="855"/>
      <c r="V81" s="318"/>
      <c r="W81" s="318"/>
      <c r="X81" s="318"/>
      <c r="Y81" s="318"/>
      <c r="Z81" s="318"/>
    </row>
    <row r="82" spans="2:26" ht="15" hidden="1" customHeight="1" x14ac:dyDescent="0.25">
      <c r="B82" s="17"/>
      <c r="C82" s="1049"/>
      <c r="D82" s="17"/>
      <c r="E82" s="17"/>
      <c r="F82" s="17"/>
      <c r="G82" s="17"/>
      <c r="H82" s="17"/>
      <c r="I82" s="17"/>
      <c r="J82" s="17"/>
      <c r="K82" s="17"/>
      <c r="L82" s="17"/>
      <c r="M82" s="17"/>
      <c r="N82" s="17"/>
      <c r="O82" s="17"/>
      <c r="P82" s="61"/>
      <c r="Q82" s="17"/>
      <c r="R82" s="1025">
        <f>IF(T79=1,1,0)</f>
        <v>0</v>
      </c>
      <c r="S82" s="236" t="s">
        <v>2098</v>
      </c>
      <c r="T82" s="995" cm="1">
        <f t="array" aca="1" ref="T82" ca="1">IF(AND(T79=1,SUBSTITUTE($T$12,"|"&amp;N78&amp;"|","####")&lt;&gt;$T$12),INDIRECT("M"&amp;T80),0)</f>
        <v>0</v>
      </c>
      <c r="U82" s="855"/>
      <c r="V82" s="318"/>
      <c r="W82" s="318"/>
      <c r="X82" s="318"/>
      <c r="Y82" s="318"/>
      <c r="Z82" s="318"/>
    </row>
    <row r="83" spans="2:26" ht="15" hidden="1" customHeight="1" x14ac:dyDescent="0.25">
      <c r="B83" s="17"/>
      <c r="C83" s="1049"/>
      <c r="D83" s="17"/>
      <c r="E83" s="17"/>
      <c r="F83" s="17"/>
      <c r="G83" s="17"/>
      <c r="H83" s="17"/>
      <c r="I83" s="17"/>
      <c r="J83" s="17"/>
      <c r="K83" s="17"/>
      <c r="L83" s="17"/>
      <c r="M83" s="17"/>
      <c r="N83" s="17"/>
      <c r="O83" s="17"/>
      <c r="P83" s="61"/>
      <c r="Q83" s="17"/>
      <c r="R83" s="1026">
        <f ca="1">IF($S$134=2,IF(T83=T89,0,1),0)</f>
        <v>0</v>
      </c>
      <c r="S83" s="306" t="s">
        <v>2210</v>
      </c>
      <c r="T83" s="219" t="str">
        <f ca="1">IF($S$134=2,IF(SUM(R3:R64,R66:R70,R72:R76,R78:R82)&lt;$S$128,"↑ PAGINA 1","↓ PAGINA 2"),"n.v.t.")</f>
        <v>n.v.t.</v>
      </c>
      <c r="U83" s="855"/>
      <c r="V83" s="318"/>
      <c r="W83" s="318"/>
      <c r="X83" s="318"/>
      <c r="Y83" s="318"/>
      <c r="Z83" s="318"/>
    </row>
    <row r="84" spans="2:26" ht="15" hidden="1" customHeight="1" x14ac:dyDescent="0.25">
      <c r="B84" s="17"/>
      <c r="C84" s="1049"/>
      <c r="D84" s="961" t="str" cm="1">
        <f t="array" aca="1" ref="D84" ca="1">IF(T85=1,INDIRECT("E"&amp;T86),"")</f>
        <v/>
      </c>
      <c r="E84" s="379"/>
      <c r="F84" s="379"/>
      <c r="G84" s="379"/>
      <c r="H84" s="379"/>
      <c r="I84" s="379"/>
      <c r="J84" s="379"/>
      <c r="K84" s="379"/>
      <c r="L84" s="379"/>
      <c r="M84" s="419" t="str">
        <f ca="1">Taal04!$B$264&amp;":"</f>
        <v>team selecteren:</v>
      </c>
      <c r="N84" s="1001" t="s">
        <v>62</v>
      </c>
      <c r="O84" s="202" t="s">
        <v>908</v>
      </c>
      <c r="P84" s="61"/>
      <c r="Q84" s="17"/>
      <c r="R84" s="1025">
        <f>IF(T85=1,1,0)</f>
        <v>0</v>
      </c>
      <c r="S84" s="996" t="str">
        <f>"Team "&amp;RIGHT("00"&amp;RIGHT(S78,2)*1+1,2)</f>
        <v>Team 14</v>
      </c>
      <c r="T84" s="997" t="str" cm="1">
        <f t="array" aca="1" ref="T84" ca="1">IF(AND($T$3=1,T85=1),INDIRECT("B"&amp;T86),"-")</f>
        <v>-</v>
      </c>
      <c r="U84" s="855"/>
      <c r="V84" s="318"/>
      <c r="W84" s="318"/>
      <c r="X84" s="318"/>
      <c r="Y84" s="318"/>
      <c r="Z84" s="318"/>
    </row>
    <row r="85" spans="2:26" ht="15" hidden="1" customHeight="1" x14ac:dyDescent="0.25">
      <c r="B85" s="17"/>
      <c r="C85" s="1049"/>
      <c r="D85" s="1426" t="str" cm="1">
        <f t="array" aca="1" ref="D85" ca="1">IF(AND(T85=1,T87=1),INDIRECT("G"&amp;T86),"")</f>
        <v/>
      </c>
      <c r="E85" s="1426"/>
      <c r="F85" s="1426"/>
      <c r="G85" s="1426"/>
      <c r="H85" s="1426"/>
      <c r="I85" s="1426"/>
      <c r="J85" s="1426"/>
      <c r="K85" s="1426"/>
      <c r="L85" s="1426"/>
      <c r="M85" s="1426"/>
      <c r="N85" s="1426"/>
      <c r="O85" s="1426"/>
      <c r="P85" s="61"/>
      <c r="Q85" s="17"/>
      <c r="R85" s="1025">
        <f ca="1">IF(T87=1,1,0)</f>
        <v>0</v>
      </c>
      <c r="S85" s="998" t="s">
        <v>2092</v>
      </c>
      <c r="T85" s="997">
        <f>IF(AND($T$3=1,RIGHT(S84,2)*1&lt;=$T$4),1,0)</f>
        <v>0</v>
      </c>
      <c r="U85" s="855"/>
      <c r="V85" s="318"/>
      <c r="W85" s="318"/>
      <c r="X85" s="318"/>
      <c r="Y85" s="318"/>
      <c r="Z85" s="318"/>
    </row>
    <row r="86" spans="2:26" ht="15" hidden="1" customHeight="1" x14ac:dyDescent="0.25">
      <c r="B86" s="17"/>
      <c r="C86" s="1049"/>
      <c r="D86" s="1426"/>
      <c r="E86" s="1426"/>
      <c r="F86" s="1426"/>
      <c r="G86" s="1426"/>
      <c r="H86" s="1426"/>
      <c r="I86" s="1426"/>
      <c r="J86" s="1426"/>
      <c r="K86" s="1426"/>
      <c r="L86" s="1426"/>
      <c r="M86" s="1426"/>
      <c r="N86" s="1426"/>
      <c r="O86" s="1426"/>
      <c r="P86" s="61"/>
      <c r="Q86" s="17"/>
      <c r="R86" s="1025">
        <f ca="1">IF(T87=1,1,0)</f>
        <v>0</v>
      </c>
      <c r="S86" s="998" t="s">
        <v>2095</v>
      </c>
      <c r="T86" s="997" t="str">
        <f>IF(T85=1,RIGHT(LEFT($T$11,RIGHT(S84,2)*3),3)*1,"-")</f>
        <v>-</v>
      </c>
      <c r="U86" s="855"/>
      <c r="V86" s="318"/>
      <c r="W86" s="318"/>
      <c r="X86" s="318"/>
      <c r="Y86" s="318"/>
      <c r="Z86" s="318"/>
    </row>
    <row r="87" spans="2:26" ht="15" hidden="1" customHeight="1" x14ac:dyDescent="0.25">
      <c r="B87" s="17"/>
      <c r="C87" s="1049"/>
      <c r="D87" s="1426"/>
      <c r="E87" s="1426"/>
      <c r="F87" s="1426"/>
      <c r="G87" s="1426"/>
      <c r="H87" s="1426"/>
      <c r="I87" s="1426"/>
      <c r="J87" s="1426"/>
      <c r="K87" s="1426"/>
      <c r="L87" s="1426"/>
      <c r="M87" s="1426"/>
      <c r="N87" s="1426"/>
      <c r="O87" s="1426"/>
      <c r="P87" s="61"/>
      <c r="Q87" s="17"/>
      <c r="R87" s="1025">
        <f ca="1">IF(T87=1,1,0)</f>
        <v>0</v>
      </c>
      <c r="S87" s="998" t="s">
        <v>2097</v>
      </c>
      <c r="T87" s="997" cm="1">
        <f t="array" aca="1" ref="T87" ca="1">IF(AND($T$3=1,T85=1),IF(OR(ISBLANK(INDIRECT("G"&amp;T86)),TRIM(INDIRECT("G"&amp;T86))=""),0,1),0)</f>
        <v>0</v>
      </c>
      <c r="U87" s="855"/>
      <c r="V87" s="318"/>
      <c r="W87" s="318"/>
      <c r="X87" s="318"/>
      <c r="Y87" s="318"/>
      <c r="Z87" s="318"/>
    </row>
    <row r="88" spans="2:26" ht="15" hidden="1" customHeight="1" x14ac:dyDescent="0.25">
      <c r="B88" s="17"/>
      <c r="C88" s="1049"/>
      <c r="D88" s="17"/>
      <c r="E88" s="17"/>
      <c r="F88" s="17"/>
      <c r="G88" s="17"/>
      <c r="H88" s="17"/>
      <c r="I88" s="17"/>
      <c r="J88" s="17"/>
      <c r="K88" s="17"/>
      <c r="L88" s="17"/>
      <c r="M88" s="17"/>
      <c r="N88" s="17"/>
      <c r="O88" s="17"/>
      <c r="P88" s="61"/>
      <c r="Q88" s="17"/>
      <c r="R88" s="1025">
        <f>IF(T85=1,1,0)</f>
        <v>0</v>
      </c>
      <c r="S88" s="998" t="s">
        <v>2098</v>
      </c>
      <c r="T88" s="997" cm="1">
        <f t="array" aca="1" ref="T88" ca="1">IF(AND(T85=1,SUBSTITUTE($T$12,"|"&amp;N84&amp;"|","####")&lt;&gt;$T$12),INDIRECT("M"&amp;T86),0)</f>
        <v>0</v>
      </c>
      <c r="U88" s="855"/>
      <c r="V88" s="318"/>
      <c r="W88" s="318"/>
      <c r="X88" s="318"/>
      <c r="Y88" s="318"/>
      <c r="Z88" s="318"/>
    </row>
    <row r="89" spans="2:26" ht="15" hidden="1" customHeight="1" x14ac:dyDescent="0.25">
      <c r="B89" s="17"/>
      <c r="C89" s="1049"/>
      <c r="D89" s="17"/>
      <c r="E89" s="17"/>
      <c r="F89" s="17"/>
      <c r="G89" s="17"/>
      <c r="H89" s="17"/>
      <c r="I89" s="17"/>
      <c r="J89" s="17"/>
      <c r="K89" s="17"/>
      <c r="L89" s="17"/>
      <c r="M89" s="17"/>
      <c r="N89" s="17"/>
      <c r="O89" s="17"/>
      <c r="P89" s="61"/>
      <c r="Q89" s="17"/>
      <c r="R89" s="1026">
        <f ca="1">IF($S$134=2,IF(T89=T95,0,1),0)</f>
        <v>0</v>
      </c>
      <c r="S89" s="306" t="s">
        <v>2210</v>
      </c>
      <c r="T89" s="219" t="str">
        <f ca="1">IF($S$134=2,IF(SUM(R3:R64,R66:R70,R72:R76,R78:R82,R84:R88)&lt;$S$128,"↑ PAGINA 1","↓ PAGINA 2"),"n.v.t.")</f>
        <v>n.v.t.</v>
      </c>
      <c r="U89" s="855"/>
      <c r="V89" s="318"/>
      <c r="W89" s="318"/>
      <c r="X89" s="318"/>
      <c r="Y89" s="318"/>
      <c r="Z89" s="318"/>
    </row>
    <row r="90" spans="2:26" ht="15" hidden="1" customHeight="1" x14ac:dyDescent="0.25">
      <c r="B90" s="17"/>
      <c r="C90" s="1049"/>
      <c r="D90" s="961" t="str" cm="1">
        <f t="array" aca="1" ref="D90" ca="1">IF(T91=1,INDIRECT("E"&amp;T92),"")</f>
        <v/>
      </c>
      <c r="E90" s="379"/>
      <c r="F90" s="379"/>
      <c r="G90" s="379"/>
      <c r="H90" s="379"/>
      <c r="I90" s="379"/>
      <c r="J90" s="379"/>
      <c r="K90" s="379"/>
      <c r="L90" s="379"/>
      <c r="M90" s="419" t="str">
        <f ca="1">Taal04!$B$264&amp;":"</f>
        <v>team selecteren:</v>
      </c>
      <c r="N90" s="1001" t="s">
        <v>62</v>
      </c>
      <c r="O90" s="202" t="s">
        <v>908</v>
      </c>
      <c r="P90" s="61"/>
      <c r="Q90" s="17"/>
      <c r="R90" s="1025">
        <f>IF(T91=1,1,0)</f>
        <v>0</v>
      </c>
      <c r="S90" s="999" t="str">
        <f>"Team "&amp;RIGHT("00"&amp;RIGHT(S84,2)*1+1,2)</f>
        <v>Team 15</v>
      </c>
      <c r="T90" s="775" t="str" cm="1">
        <f t="array" aca="1" ref="T90" ca="1">IF(AND($T$3=1,T91=1),INDIRECT("B"&amp;T92),"-")</f>
        <v>-</v>
      </c>
      <c r="U90" s="855"/>
      <c r="V90" s="318"/>
      <c r="W90" s="318"/>
      <c r="X90" s="318"/>
      <c r="Y90" s="318"/>
      <c r="Z90" s="318"/>
    </row>
    <row r="91" spans="2:26" ht="15" hidden="1" customHeight="1" x14ac:dyDescent="0.25">
      <c r="B91" s="17"/>
      <c r="C91" s="1049"/>
      <c r="D91" s="1426" t="str" cm="1">
        <f t="array" aca="1" ref="D91" ca="1">IF(AND(T91=1,T93=1),INDIRECT("G"&amp;T92),"")</f>
        <v/>
      </c>
      <c r="E91" s="1426"/>
      <c r="F91" s="1426"/>
      <c r="G91" s="1426"/>
      <c r="H91" s="1426"/>
      <c r="I91" s="1426"/>
      <c r="J91" s="1426"/>
      <c r="K91" s="1426"/>
      <c r="L91" s="1426"/>
      <c r="M91" s="1426"/>
      <c r="N91" s="1426"/>
      <c r="O91" s="1426"/>
      <c r="P91" s="61"/>
      <c r="Q91" s="17"/>
      <c r="R91" s="1025">
        <f ca="1">IF(T93=1,1,0)</f>
        <v>0</v>
      </c>
      <c r="S91" s="1000" t="s">
        <v>2092</v>
      </c>
      <c r="T91" s="775">
        <f>IF(AND($T$3=1,RIGHT(S90,2)*1&lt;=$T$4),1,0)</f>
        <v>0</v>
      </c>
      <c r="U91" s="855"/>
      <c r="V91" s="318"/>
      <c r="W91" s="318"/>
      <c r="X91" s="318"/>
      <c r="Y91" s="318"/>
      <c r="Z91" s="318"/>
    </row>
    <row r="92" spans="2:26" ht="15" hidden="1" customHeight="1" x14ac:dyDescent="0.25">
      <c r="B92" s="17"/>
      <c r="C92" s="1049"/>
      <c r="D92" s="1426"/>
      <c r="E92" s="1426"/>
      <c r="F92" s="1426"/>
      <c r="G92" s="1426"/>
      <c r="H92" s="1426"/>
      <c r="I92" s="1426"/>
      <c r="J92" s="1426"/>
      <c r="K92" s="1426"/>
      <c r="L92" s="1426"/>
      <c r="M92" s="1426"/>
      <c r="N92" s="1426"/>
      <c r="O92" s="1426"/>
      <c r="P92" s="61"/>
      <c r="Q92" s="17"/>
      <c r="R92" s="1025">
        <f ca="1">IF(T93=1,1,0)</f>
        <v>0</v>
      </c>
      <c r="S92" s="1000" t="s">
        <v>2095</v>
      </c>
      <c r="T92" s="775" t="str">
        <f>IF(T91=1,RIGHT(LEFT($T$11,RIGHT(S90,2)*3),3)*1,"-")</f>
        <v>-</v>
      </c>
      <c r="U92" s="855"/>
      <c r="V92" s="318"/>
      <c r="W92" s="318"/>
      <c r="X92" s="318"/>
      <c r="Y92" s="318"/>
      <c r="Z92" s="318"/>
    </row>
    <row r="93" spans="2:26" ht="15" hidden="1" customHeight="1" x14ac:dyDescent="0.25">
      <c r="B93" s="17"/>
      <c r="C93" s="1049"/>
      <c r="D93" s="1426"/>
      <c r="E93" s="1426"/>
      <c r="F93" s="1426"/>
      <c r="G93" s="1426"/>
      <c r="H93" s="1426"/>
      <c r="I93" s="1426"/>
      <c r="J93" s="1426"/>
      <c r="K93" s="1426"/>
      <c r="L93" s="1426"/>
      <c r="M93" s="1426"/>
      <c r="N93" s="1426"/>
      <c r="O93" s="1426"/>
      <c r="P93" s="61"/>
      <c r="Q93" s="17"/>
      <c r="R93" s="1025">
        <f ca="1">IF(T93=1,1,0)</f>
        <v>0</v>
      </c>
      <c r="S93" s="1000" t="s">
        <v>2097</v>
      </c>
      <c r="T93" s="775" cm="1">
        <f t="array" aca="1" ref="T93" ca="1">IF(AND($T$3=1,T91=1),IF(OR(ISBLANK(INDIRECT("G"&amp;T92)),TRIM(INDIRECT("G"&amp;T92))=""),0,1),0)</f>
        <v>0</v>
      </c>
      <c r="U93" s="855"/>
      <c r="V93" s="318"/>
      <c r="W93" s="318"/>
      <c r="X93" s="318"/>
      <c r="Y93" s="318"/>
      <c r="Z93" s="318"/>
    </row>
    <row r="94" spans="2:26" ht="15" hidden="1" customHeight="1" x14ac:dyDescent="0.25">
      <c r="B94" s="17"/>
      <c r="C94" s="1049"/>
      <c r="D94" s="17"/>
      <c r="E94" s="17"/>
      <c r="F94" s="17"/>
      <c r="G94" s="17"/>
      <c r="H94" s="17"/>
      <c r="I94" s="17"/>
      <c r="J94" s="17"/>
      <c r="K94" s="17"/>
      <c r="L94" s="17"/>
      <c r="M94" s="17"/>
      <c r="N94" s="17"/>
      <c r="O94" s="17"/>
      <c r="P94" s="61"/>
      <c r="Q94" s="17"/>
      <c r="R94" s="1025">
        <f>IF(T91=1,1,0)</f>
        <v>0</v>
      </c>
      <c r="S94" s="1000" t="s">
        <v>2098</v>
      </c>
      <c r="T94" s="775" cm="1">
        <f t="array" aca="1" ref="T94" ca="1">IF(AND(T91=1,SUBSTITUTE($T$12,"|"&amp;N90&amp;"|","####")&lt;&gt;$T$12),INDIRECT("M"&amp;T92),0)</f>
        <v>0</v>
      </c>
      <c r="U94" s="855"/>
      <c r="V94" s="318"/>
      <c r="W94" s="318"/>
      <c r="X94" s="318"/>
      <c r="Y94" s="318"/>
      <c r="Z94" s="318"/>
    </row>
    <row r="95" spans="2:26" ht="15" hidden="1" customHeight="1" x14ac:dyDescent="0.25">
      <c r="B95" s="17"/>
      <c r="C95" s="1049"/>
      <c r="D95" s="17"/>
      <c r="E95" s="17"/>
      <c r="F95" s="17"/>
      <c r="G95" s="17"/>
      <c r="H95" s="17"/>
      <c r="I95" s="17"/>
      <c r="J95" s="17"/>
      <c r="K95" s="17"/>
      <c r="L95" s="17"/>
      <c r="M95" s="17"/>
      <c r="N95" s="17"/>
      <c r="O95" s="17"/>
      <c r="P95" s="61"/>
      <c r="Q95" s="17"/>
      <c r="R95" s="1026">
        <f ca="1">IF($S$134=2,IF(T95=T101,0,1),0)</f>
        <v>0</v>
      </c>
      <c r="S95" s="306" t="s">
        <v>2210</v>
      </c>
      <c r="T95" s="219" t="str">
        <f ca="1">IF($S$134=2,IF(SUM(R3:R64,R66:R70,R72:R76,R78:R82,R84:R88,R90:R94)&lt;$S$128,"↑ PAGINA 1","↓ PAGINA 2"),"n.v.t.")</f>
        <v>n.v.t.</v>
      </c>
      <c r="U95" s="855"/>
      <c r="V95" s="318"/>
      <c r="W95" s="318"/>
      <c r="X95" s="318"/>
      <c r="Y95" s="318"/>
      <c r="Z95" s="318"/>
    </row>
    <row r="96" spans="2:26" ht="15" hidden="1" customHeight="1" x14ac:dyDescent="0.25">
      <c r="B96" s="17"/>
      <c r="C96" s="1049"/>
      <c r="D96" s="961" t="str" cm="1">
        <f t="array" aca="1" ref="D96" ca="1">IF(T97=1,INDIRECT("E"&amp;T98),"")</f>
        <v/>
      </c>
      <c r="E96" s="379"/>
      <c r="F96" s="379"/>
      <c r="G96" s="379"/>
      <c r="H96" s="379"/>
      <c r="I96" s="379"/>
      <c r="J96" s="379"/>
      <c r="K96" s="379"/>
      <c r="L96" s="379"/>
      <c r="M96" s="419" t="str">
        <f ca="1">Taal04!$B$264&amp;":"</f>
        <v>team selecteren:</v>
      </c>
      <c r="N96" s="1001" t="s">
        <v>62</v>
      </c>
      <c r="O96" s="202" t="s">
        <v>908</v>
      </c>
      <c r="P96" s="61"/>
      <c r="Q96" s="17"/>
      <c r="R96" s="1025">
        <f>IF(T97=1,1,0)</f>
        <v>0</v>
      </c>
      <c r="S96" s="1002" t="str">
        <f>"Team "&amp;RIGHT("00"&amp;RIGHT(S90,2)*1+1,2)</f>
        <v>Team 16</v>
      </c>
      <c r="T96" s="469" t="str" cm="1">
        <f t="array" aca="1" ref="T96" ca="1">IF(AND($T$3=1,T97=1),INDIRECT("B"&amp;T98),"-")</f>
        <v>-</v>
      </c>
      <c r="U96" s="855"/>
      <c r="V96" s="318"/>
      <c r="W96" s="318"/>
      <c r="X96" s="318"/>
      <c r="Y96" s="318"/>
      <c r="Z96" s="318"/>
    </row>
    <row r="97" spans="2:26" ht="15" hidden="1" customHeight="1" x14ac:dyDescent="0.25">
      <c r="B97" s="17"/>
      <c r="C97" s="1049"/>
      <c r="D97" s="1426" t="str" cm="1">
        <f t="array" aca="1" ref="D97" ca="1">IF(AND(T97=1,T99=1),INDIRECT("G"&amp;T98),"")</f>
        <v/>
      </c>
      <c r="E97" s="1426"/>
      <c r="F97" s="1426"/>
      <c r="G97" s="1426"/>
      <c r="H97" s="1426"/>
      <c r="I97" s="1426"/>
      <c r="J97" s="1426"/>
      <c r="K97" s="1426"/>
      <c r="L97" s="1426"/>
      <c r="M97" s="1426"/>
      <c r="N97" s="1426"/>
      <c r="O97" s="1426"/>
      <c r="P97" s="61"/>
      <c r="Q97" s="17"/>
      <c r="R97" s="1025">
        <f ca="1">IF(T99=1,1,0)</f>
        <v>0</v>
      </c>
      <c r="S97" s="1003" t="s">
        <v>2092</v>
      </c>
      <c r="T97" s="469">
        <f>IF(AND($T$3=1,RIGHT(S96,2)*1&lt;=$T$4),1,0)</f>
        <v>0</v>
      </c>
      <c r="U97" s="855"/>
      <c r="V97" s="318"/>
      <c r="W97" s="318"/>
      <c r="X97" s="318"/>
      <c r="Y97" s="318"/>
      <c r="Z97" s="318"/>
    </row>
    <row r="98" spans="2:26" ht="15" hidden="1" customHeight="1" x14ac:dyDescent="0.25">
      <c r="B98" s="17"/>
      <c r="C98" s="1049"/>
      <c r="D98" s="1426"/>
      <c r="E98" s="1426"/>
      <c r="F98" s="1426"/>
      <c r="G98" s="1426"/>
      <c r="H98" s="1426"/>
      <c r="I98" s="1426"/>
      <c r="J98" s="1426"/>
      <c r="K98" s="1426"/>
      <c r="L98" s="1426"/>
      <c r="M98" s="1426"/>
      <c r="N98" s="1426"/>
      <c r="O98" s="1426"/>
      <c r="P98" s="61"/>
      <c r="Q98" s="17"/>
      <c r="R98" s="1025">
        <f ca="1">IF(T99=1,1,0)</f>
        <v>0</v>
      </c>
      <c r="S98" s="1003" t="s">
        <v>2095</v>
      </c>
      <c r="T98" s="469" t="str">
        <f>IF(T97=1,RIGHT(LEFT($T$11,RIGHT(S96,2)*3),3)*1,"-")</f>
        <v>-</v>
      </c>
      <c r="U98" s="855"/>
      <c r="V98" s="318"/>
      <c r="W98" s="318"/>
      <c r="X98" s="318"/>
      <c r="Y98" s="318"/>
      <c r="Z98" s="318"/>
    </row>
    <row r="99" spans="2:26" ht="15" hidden="1" customHeight="1" x14ac:dyDescent="0.25">
      <c r="B99" s="17"/>
      <c r="C99" s="1049"/>
      <c r="D99" s="1426"/>
      <c r="E99" s="1426"/>
      <c r="F99" s="1426"/>
      <c r="G99" s="1426"/>
      <c r="H99" s="1426"/>
      <c r="I99" s="1426"/>
      <c r="J99" s="1426"/>
      <c r="K99" s="1426"/>
      <c r="L99" s="1426"/>
      <c r="M99" s="1426"/>
      <c r="N99" s="1426"/>
      <c r="O99" s="1426"/>
      <c r="P99" s="61"/>
      <c r="Q99" s="17"/>
      <c r="R99" s="1025">
        <f ca="1">IF(T99=1,1,0)</f>
        <v>0</v>
      </c>
      <c r="S99" s="1003" t="s">
        <v>2097</v>
      </c>
      <c r="T99" s="469" cm="1">
        <f t="array" aca="1" ref="T99" ca="1">IF(AND($T$3=1,T97=1),IF(OR(ISBLANK(INDIRECT("G"&amp;T98)),TRIM(INDIRECT("G"&amp;T98))=""),0,1),0)</f>
        <v>0</v>
      </c>
      <c r="U99" s="855"/>
      <c r="V99" s="318"/>
      <c r="W99" s="318"/>
      <c r="X99" s="318"/>
      <c r="Y99" s="318"/>
      <c r="Z99" s="318"/>
    </row>
    <row r="100" spans="2:26" ht="15" hidden="1" customHeight="1" x14ac:dyDescent="0.25">
      <c r="B100" s="17"/>
      <c r="C100" s="1049"/>
      <c r="D100" s="17"/>
      <c r="E100" s="17"/>
      <c r="F100" s="17"/>
      <c r="G100" s="17"/>
      <c r="H100" s="17"/>
      <c r="I100" s="17"/>
      <c r="J100" s="17"/>
      <c r="K100" s="17"/>
      <c r="L100" s="17"/>
      <c r="M100" s="17"/>
      <c r="N100" s="17"/>
      <c r="O100" s="17"/>
      <c r="P100" s="61"/>
      <c r="Q100" s="17"/>
      <c r="R100" s="1025">
        <f>IF(T97=1,1,0)</f>
        <v>0</v>
      </c>
      <c r="S100" s="1003" t="s">
        <v>2098</v>
      </c>
      <c r="T100" s="469" cm="1">
        <f t="array" aca="1" ref="T100" ca="1">IF(AND(T97=1,SUBSTITUTE($T$12,"|"&amp;N96&amp;"|","####")&lt;&gt;$T$12),INDIRECT("M"&amp;T98),0)</f>
        <v>0</v>
      </c>
      <c r="U100" s="855"/>
      <c r="V100" s="318"/>
      <c r="W100" s="318"/>
      <c r="X100" s="318"/>
      <c r="Y100" s="318"/>
      <c r="Z100" s="318"/>
    </row>
    <row r="101" spans="2:26" ht="15" hidden="1" customHeight="1" x14ac:dyDescent="0.25">
      <c r="B101" s="17"/>
      <c r="C101" s="1049"/>
      <c r="D101" s="17"/>
      <c r="E101" s="17"/>
      <c r="F101" s="17"/>
      <c r="G101" s="17"/>
      <c r="H101" s="17"/>
      <c r="I101" s="17"/>
      <c r="J101" s="17"/>
      <c r="K101" s="17"/>
      <c r="L101" s="17"/>
      <c r="M101" s="17"/>
      <c r="N101" s="17"/>
      <c r="O101" s="17"/>
      <c r="P101" s="61"/>
      <c r="Q101" s="17"/>
      <c r="R101" s="1026">
        <f ca="1">IF($S$134=2,IF(T101=T107,0,1),0)</f>
        <v>0</v>
      </c>
      <c r="S101" s="306" t="s">
        <v>2210</v>
      </c>
      <c r="T101" s="219" t="str">
        <f ca="1">IF($S$134=2,IF(SUM(R3:R64,R66:R70,R72:R76,R78:R82,R84:R88,R90:R94,R96:R100)&lt;$S$128,"↑ PAGINA 1","↓ PAGINA 2"),"n.v.t.")</f>
        <v>n.v.t.</v>
      </c>
      <c r="U101" s="855"/>
      <c r="V101" s="318"/>
      <c r="W101" s="318"/>
      <c r="X101" s="318"/>
      <c r="Y101" s="318"/>
      <c r="Z101" s="318"/>
    </row>
    <row r="102" spans="2:26" ht="15" hidden="1" customHeight="1" x14ac:dyDescent="0.25">
      <c r="B102" s="17"/>
      <c r="C102" s="1049"/>
      <c r="D102" s="961" t="str" cm="1">
        <f t="array" aca="1" ref="D102" ca="1">IF(T103=1,INDIRECT("E"&amp;T104),"")</f>
        <v/>
      </c>
      <c r="E102" s="379"/>
      <c r="F102" s="379"/>
      <c r="G102" s="379"/>
      <c r="H102" s="379"/>
      <c r="I102" s="379"/>
      <c r="J102" s="379"/>
      <c r="K102" s="379"/>
      <c r="L102" s="379"/>
      <c r="M102" s="419" t="str">
        <f ca="1">Taal04!$B$264&amp;":"</f>
        <v>team selecteren:</v>
      </c>
      <c r="N102" s="1001" t="s">
        <v>62</v>
      </c>
      <c r="O102" s="202" t="s">
        <v>908</v>
      </c>
      <c r="P102" s="61"/>
      <c r="Q102" s="17"/>
      <c r="R102" s="1025">
        <f>IF(T103=1,1,0)</f>
        <v>0</v>
      </c>
      <c r="S102" s="1004" t="str">
        <f>"Team "&amp;RIGHT("00"&amp;RIGHT(S96,2)*1+1,2)</f>
        <v>Team 17</v>
      </c>
      <c r="T102" s="1005" t="str" cm="1">
        <f t="array" aca="1" ref="T102" ca="1">IF(AND($T$3=1,T103=1),INDIRECT("B"&amp;T104),"-")</f>
        <v>-</v>
      </c>
      <c r="U102" s="855"/>
      <c r="V102" s="318"/>
      <c r="W102" s="318"/>
      <c r="X102" s="318"/>
      <c r="Y102" s="318"/>
      <c r="Z102" s="318"/>
    </row>
    <row r="103" spans="2:26" ht="15" hidden="1" customHeight="1" x14ac:dyDescent="0.25">
      <c r="B103" s="17"/>
      <c r="C103" s="1049"/>
      <c r="D103" s="1426" t="str" cm="1">
        <f t="array" aca="1" ref="D103" ca="1">IF(AND(T103=1,T105=1),INDIRECT("G"&amp;T104),"")</f>
        <v/>
      </c>
      <c r="E103" s="1426"/>
      <c r="F103" s="1426"/>
      <c r="G103" s="1426"/>
      <c r="H103" s="1426"/>
      <c r="I103" s="1426"/>
      <c r="J103" s="1426"/>
      <c r="K103" s="1426"/>
      <c r="L103" s="1426"/>
      <c r="M103" s="1426"/>
      <c r="N103" s="1426"/>
      <c r="O103" s="1426"/>
      <c r="P103" s="61"/>
      <c r="Q103" s="17"/>
      <c r="R103" s="1025">
        <f ca="1">IF(T105=1,1,0)</f>
        <v>0</v>
      </c>
      <c r="S103" s="1006" t="s">
        <v>2092</v>
      </c>
      <c r="T103" s="1005">
        <f>IF(AND($T$3=1,RIGHT(S102,2)*1&lt;=$T$4),1,0)</f>
        <v>0</v>
      </c>
      <c r="U103" s="855"/>
      <c r="V103" s="318"/>
      <c r="W103" s="318"/>
      <c r="X103" s="318"/>
      <c r="Y103" s="318"/>
      <c r="Z103" s="318"/>
    </row>
    <row r="104" spans="2:26" ht="15" hidden="1" customHeight="1" x14ac:dyDescent="0.25">
      <c r="B104" s="17"/>
      <c r="C104" s="1049"/>
      <c r="D104" s="1426"/>
      <c r="E104" s="1426"/>
      <c r="F104" s="1426"/>
      <c r="G104" s="1426"/>
      <c r="H104" s="1426"/>
      <c r="I104" s="1426"/>
      <c r="J104" s="1426"/>
      <c r="K104" s="1426"/>
      <c r="L104" s="1426"/>
      <c r="M104" s="1426"/>
      <c r="N104" s="1426"/>
      <c r="O104" s="1426"/>
      <c r="P104" s="61"/>
      <c r="Q104" s="17"/>
      <c r="R104" s="1025">
        <f ca="1">IF(T105=1,1,0)</f>
        <v>0</v>
      </c>
      <c r="S104" s="1006" t="s">
        <v>2095</v>
      </c>
      <c r="T104" s="1005" t="str">
        <f>IF(T103=1,RIGHT(LEFT($T$11,RIGHT(S102,2)*3),3)*1,"-")</f>
        <v>-</v>
      </c>
      <c r="U104" s="855"/>
      <c r="V104" s="318"/>
      <c r="W104" s="318"/>
      <c r="X104" s="318"/>
      <c r="Y104" s="318"/>
      <c r="Z104" s="318"/>
    </row>
    <row r="105" spans="2:26" ht="15" hidden="1" customHeight="1" x14ac:dyDescent="0.25">
      <c r="B105" s="17"/>
      <c r="C105" s="1049"/>
      <c r="D105" s="1426"/>
      <c r="E105" s="1426"/>
      <c r="F105" s="1426"/>
      <c r="G105" s="1426"/>
      <c r="H105" s="1426"/>
      <c r="I105" s="1426"/>
      <c r="J105" s="1426"/>
      <c r="K105" s="1426"/>
      <c r="L105" s="1426"/>
      <c r="M105" s="1426"/>
      <c r="N105" s="1426"/>
      <c r="O105" s="1426"/>
      <c r="P105" s="61"/>
      <c r="Q105" s="17"/>
      <c r="R105" s="1025">
        <f ca="1">IF(T105=1,1,0)</f>
        <v>0</v>
      </c>
      <c r="S105" s="1006" t="s">
        <v>2097</v>
      </c>
      <c r="T105" s="1005" cm="1">
        <f t="array" aca="1" ref="T105" ca="1">IF(AND($T$3=1,T103=1),IF(OR(ISBLANK(INDIRECT("G"&amp;T104)),TRIM(INDIRECT("G"&amp;T104))=""),0,1),0)</f>
        <v>0</v>
      </c>
      <c r="U105" s="855"/>
      <c r="V105" s="318"/>
      <c r="W105" s="318"/>
      <c r="X105" s="318"/>
      <c r="Y105" s="318"/>
      <c r="Z105" s="318"/>
    </row>
    <row r="106" spans="2:26" ht="15" hidden="1" customHeight="1" x14ac:dyDescent="0.25">
      <c r="B106" s="17"/>
      <c r="C106" s="1049"/>
      <c r="D106" s="17"/>
      <c r="E106" s="17"/>
      <c r="F106" s="17"/>
      <c r="G106" s="17"/>
      <c r="H106" s="17"/>
      <c r="I106" s="17"/>
      <c r="J106" s="17"/>
      <c r="K106" s="17"/>
      <c r="L106" s="17"/>
      <c r="M106" s="17"/>
      <c r="N106" s="17"/>
      <c r="O106" s="17"/>
      <c r="P106" s="61"/>
      <c r="Q106" s="17"/>
      <c r="R106" s="1025">
        <f>IF(T103=1,1,0)</f>
        <v>0</v>
      </c>
      <c r="S106" s="1006" t="s">
        <v>2098</v>
      </c>
      <c r="T106" s="1005" cm="1">
        <f t="array" aca="1" ref="T106" ca="1">IF(AND(T103=1,SUBSTITUTE($T$12,"|"&amp;N102&amp;"|","####")&lt;&gt;$T$12),INDIRECT("M"&amp;T104),0)</f>
        <v>0</v>
      </c>
      <c r="U106" s="855"/>
      <c r="V106" s="318"/>
      <c r="W106" s="318"/>
      <c r="X106" s="318"/>
      <c r="Y106" s="318"/>
      <c r="Z106" s="318"/>
    </row>
    <row r="107" spans="2:26" ht="15" hidden="1" customHeight="1" x14ac:dyDescent="0.25">
      <c r="B107" s="17"/>
      <c r="C107" s="1049"/>
      <c r="D107" s="17"/>
      <c r="E107" s="17"/>
      <c r="F107" s="17"/>
      <c r="G107" s="17"/>
      <c r="H107" s="17"/>
      <c r="I107" s="17"/>
      <c r="J107" s="17"/>
      <c r="K107" s="17"/>
      <c r="L107" s="17"/>
      <c r="M107" s="17"/>
      <c r="N107" s="17"/>
      <c r="O107" s="17"/>
      <c r="P107" s="61"/>
      <c r="Q107" s="17"/>
      <c r="R107" s="1026">
        <f ca="1">IF($S$134=2,IF(T107=T113,0,1),0)</f>
        <v>0</v>
      </c>
      <c r="S107" s="306" t="s">
        <v>2210</v>
      </c>
      <c r="T107" s="219" t="str">
        <f ca="1">IF($S$134=2,IF(SUM(R3:R64,R66:R70,R72:R76,R78:R82,R84:R88,R90:R94,R96:R100,R102:R106)&lt;$S$128,"↑ PAGINA 1","↓ PAGINA 2"),"n.v.t.")</f>
        <v>n.v.t.</v>
      </c>
      <c r="U107" s="855"/>
      <c r="V107" s="318"/>
      <c r="W107" s="318"/>
      <c r="X107" s="318"/>
      <c r="Y107" s="318"/>
      <c r="Z107" s="318"/>
    </row>
    <row r="108" spans="2:26" ht="15" hidden="1" customHeight="1" x14ac:dyDescent="0.25">
      <c r="B108" s="17"/>
      <c r="C108" s="1049"/>
      <c r="D108" s="961" t="str" cm="1">
        <f t="array" aca="1" ref="D108" ca="1">IF(T109=1,INDIRECT("E"&amp;T110),"")</f>
        <v/>
      </c>
      <c r="E108" s="379"/>
      <c r="F108" s="379"/>
      <c r="G108" s="379"/>
      <c r="H108" s="379"/>
      <c r="I108" s="379"/>
      <c r="J108" s="379"/>
      <c r="K108" s="379"/>
      <c r="L108" s="379"/>
      <c r="M108" s="419" t="str">
        <f ca="1">Taal04!$B$264&amp;":"</f>
        <v>team selecteren:</v>
      </c>
      <c r="N108" s="1001" t="s">
        <v>62</v>
      </c>
      <c r="O108" s="202" t="s">
        <v>908</v>
      </c>
      <c r="P108" s="61"/>
      <c r="Q108" s="17"/>
      <c r="R108" s="1025">
        <f>IF(T109=1,1,0)</f>
        <v>0</v>
      </c>
      <c r="S108" s="1007" t="str">
        <f>"Team "&amp;RIGHT("00"&amp;RIGHT(S102,2)*1+1,2)</f>
        <v>Team 18</v>
      </c>
      <c r="T108" s="1008" t="str" cm="1">
        <f t="array" aca="1" ref="T108" ca="1">IF(AND($T$3=1,T109=1),INDIRECT("B"&amp;T110),"-")</f>
        <v>-</v>
      </c>
      <c r="U108" s="855"/>
      <c r="V108" s="318"/>
      <c r="W108" s="318"/>
      <c r="X108" s="318"/>
      <c r="Y108" s="318"/>
      <c r="Z108" s="318"/>
    </row>
    <row r="109" spans="2:26" ht="15" hidden="1" customHeight="1" x14ac:dyDescent="0.25">
      <c r="B109" s="17"/>
      <c r="C109" s="1049"/>
      <c r="D109" s="1426" t="str" cm="1">
        <f t="array" aca="1" ref="D109" ca="1">IF(AND(T109=1,T111=1),INDIRECT("G"&amp;T110),"")</f>
        <v/>
      </c>
      <c r="E109" s="1426"/>
      <c r="F109" s="1426"/>
      <c r="G109" s="1426"/>
      <c r="H109" s="1426"/>
      <c r="I109" s="1426"/>
      <c r="J109" s="1426"/>
      <c r="K109" s="1426"/>
      <c r="L109" s="1426"/>
      <c r="M109" s="1426"/>
      <c r="N109" s="1426"/>
      <c r="O109" s="1426"/>
      <c r="P109" s="61"/>
      <c r="Q109" s="17"/>
      <c r="R109" s="1025">
        <f ca="1">IF(T111=1,1,0)</f>
        <v>0</v>
      </c>
      <c r="S109" s="1009" t="s">
        <v>2092</v>
      </c>
      <c r="T109" s="1008">
        <f>IF(AND($T$3=1,RIGHT(S108,2)*1&lt;=$T$4),1,0)</f>
        <v>0</v>
      </c>
      <c r="U109" s="855"/>
      <c r="V109" s="318"/>
      <c r="W109" s="318"/>
      <c r="X109" s="318"/>
      <c r="Y109" s="318"/>
      <c r="Z109" s="318"/>
    </row>
    <row r="110" spans="2:26" ht="15" hidden="1" customHeight="1" x14ac:dyDescent="0.25">
      <c r="B110" s="17"/>
      <c r="C110" s="1049"/>
      <c r="D110" s="1426"/>
      <c r="E110" s="1426"/>
      <c r="F110" s="1426"/>
      <c r="G110" s="1426"/>
      <c r="H110" s="1426"/>
      <c r="I110" s="1426"/>
      <c r="J110" s="1426"/>
      <c r="K110" s="1426"/>
      <c r="L110" s="1426"/>
      <c r="M110" s="1426"/>
      <c r="N110" s="1426"/>
      <c r="O110" s="1426"/>
      <c r="P110" s="61"/>
      <c r="Q110" s="17"/>
      <c r="R110" s="1025">
        <f ca="1">IF(T111=1,1,0)</f>
        <v>0</v>
      </c>
      <c r="S110" s="1009" t="s">
        <v>2095</v>
      </c>
      <c r="T110" s="1008" t="str">
        <f>IF(T109=1,RIGHT(LEFT($T$11,RIGHT(S108,2)*3),3)*1,"-")</f>
        <v>-</v>
      </c>
      <c r="U110" s="855"/>
      <c r="V110" s="318"/>
      <c r="W110" s="318"/>
      <c r="X110" s="318"/>
      <c r="Y110" s="318"/>
      <c r="Z110" s="318"/>
    </row>
    <row r="111" spans="2:26" ht="15" hidden="1" customHeight="1" x14ac:dyDescent="0.25">
      <c r="B111" s="17"/>
      <c r="C111" s="1049"/>
      <c r="D111" s="1426"/>
      <c r="E111" s="1426"/>
      <c r="F111" s="1426"/>
      <c r="G111" s="1426"/>
      <c r="H111" s="1426"/>
      <c r="I111" s="1426"/>
      <c r="J111" s="1426"/>
      <c r="K111" s="1426"/>
      <c r="L111" s="1426"/>
      <c r="M111" s="1426"/>
      <c r="N111" s="1426"/>
      <c r="O111" s="1426"/>
      <c r="P111" s="61"/>
      <c r="Q111" s="17"/>
      <c r="R111" s="1025">
        <f ca="1">IF(T111=1,1,0)</f>
        <v>0</v>
      </c>
      <c r="S111" s="1009" t="s">
        <v>2097</v>
      </c>
      <c r="T111" s="1008" cm="1">
        <f t="array" aca="1" ref="T111" ca="1">IF(AND($T$3=1,T109=1),IF(OR(ISBLANK(INDIRECT("G"&amp;T110)),TRIM(INDIRECT("G"&amp;T110))=""),0,1),0)</f>
        <v>0</v>
      </c>
      <c r="U111" s="855"/>
      <c r="V111" s="318"/>
      <c r="W111" s="318"/>
      <c r="X111" s="318"/>
      <c r="Y111" s="318"/>
      <c r="Z111" s="318"/>
    </row>
    <row r="112" spans="2:26" ht="15" hidden="1" customHeight="1" x14ac:dyDescent="0.25">
      <c r="B112" s="17"/>
      <c r="C112" s="1049"/>
      <c r="D112" s="17"/>
      <c r="E112" s="17"/>
      <c r="F112" s="17"/>
      <c r="G112" s="17"/>
      <c r="H112" s="17"/>
      <c r="I112" s="17"/>
      <c r="J112" s="17"/>
      <c r="K112" s="17"/>
      <c r="L112" s="17"/>
      <c r="M112" s="17"/>
      <c r="N112" s="17"/>
      <c r="O112" s="17"/>
      <c r="P112" s="61"/>
      <c r="Q112" s="17"/>
      <c r="R112" s="1025">
        <f>IF(T109=1,1,0)</f>
        <v>0</v>
      </c>
      <c r="S112" s="1009" t="s">
        <v>2098</v>
      </c>
      <c r="T112" s="1008" cm="1">
        <f t="array" aca="1" ref="T112" ca="1">IF(AND(T109=1,SUBSTITUTE($T$12,"|"&amp;N108&amp;"|","####")&lt;&gt;$T$12),INDIRECT("M"&amp;T110),0)</f>
        <v>0</v>
      </c>
      <c r="U112" s="855"/>
      <c r="V112" s="318"/>
      <c r="W112" s="318"/>
      <c r="X112" s="318"/>
      <c r="Y112" s="318"/>
      <c r="Z112" s="318"/>
    </row>
    <row r="113" spans="2:26" ht="15" hidden="1" customHeight="1" x14ac:dyDescent="0.25">
      <c r="B113" s="17"/>
      <c r="C113" s="1049"/>
      <c r="D113" s="17"/>
      <c r="E113" s="17"/>
      <c r="F113" s="17"/>
      <c r="G113" s="17"/>
      <c r="H113" s="17"/>
      <c r="I113" s="17"/>
      <c r="J113" s="17"/>
      <c r="K113" s="17"/>
      <c r="L113" s="17"/>
      <c r="M113" s="17"/>
      <c r="N113" s="17"/>
      <c r="O113" s="17"/>
      <c r="P113" s="61"/>
      <c r="Q113" s="17"/>
      <c r="R113" s="1026">
        <f ca="1">IF($S$134=2,IF(T113=T119,0,1),0)</f>
        <v>0</v>
      </c>
      <c r="S113" s="306" t="s">
        <v>2210</v>
      </c>
      <c r="T113" s="219" t="str">
        <f ca="1">IF($S$134=2,IF(SUM(R3:R64,R66:R70,R72:R76,R78:R82,R84:R88,R90:R94,R96:R100,R102:R106,R108:R112)&lt;$S$128,"↑ PAGINA 1","↓ PAGINA 2"),"n.v.t.")</f>
        <v>n.v.t.</v>
      </c>
      <c r="U113" s="855"/>
      <c r="V113" s="318"/>
      <c r="W113" s="318"/>
      <c r="X113" s="318"/>
      <c r="Y113" s="318"/>
      <c r="Z113" s="318"/>
    </row>
    <row r="114" spans="2:26" ht="15" hidden="1" customHeight="1" x14ac:dyDescent="0.25">
      <c r="B114" s="17"/>
      <c r="C114" s="1049"/>
      <c r="D114" s="961" t="str" cm="1">
        <f t="array" aca="1" ref="D114" ca="1">IF(T115=1,INDIRECT("E"&amp;T116),"")</f>
        <v/>
      </c>
      <c r="E114" s="379"/>
      <c r="F114" s="379"/>
      <c r="G114" s="379"/>
      <c r="H114" s="379"/>
      <c r="I114" s="379"/>
      <c r="J114" s="379"/>
      <c r="K114" s="379"/>
      <c r="L114" s="379"/>
      <c r="M114" s="419" t="str">
        <f ca="1">Taal04!$B$264&amp;":"</f>
        <v>team selecteren:</v>
      </c>
      <c r="N114" s="1001" t="s">
        <v>62</v>
      </c>
      <c r="O114" s="202" t="s">
        <v>908</v>
      </c>
      <c r="P114" s="61"/>
      <c r="Q114" s="17"/>
      <c r="R114" s="1025">
        <f>IF(T115=1,1,0)</f>
        <v>0</v>
      </c>
      <c r="S114" s="1010" t="str">
        <f>"Team "&amp;RIGHT("00"&amp;RIGHT(S108,2)*1+1,2)</f>
        <v>Team 19</v>
      </c>
      <c r="T114" s="1011" t="str" cm="1">
        <f t="array" aca="1" ref="T114" ca="1">IF(AND($T$3=1,T115=1),INDIRECT("B"&amp;T116),"-")</f>
        <v>-</v>
      </c>
      <c r="U114" s="855"/>
      <c r="V114" s="318"/>
      <c r="W114" s="318"/>
      <c r="X114" s="318"/>
      <c r="Y114" s="318"/>
      <c r="Z114" s="318"/>
    </row>
    <row r="115" spans="2:26" ht="15" hidden="1" customHeight="1" x14ac:dyDescent="0.25">
      <c r="B115" s="17"/>
      <c r="C115" s="1049"/>
      <c r="D115" s="1426" t="str" cm="1">
        <f t="array" aca="1" ref="D115" ca="1">IF(AND(T115=1,T117=1),INDIRECT("G"&amp;T116),"")</f>
        <v/>
      </c>
      <c r="E115" s="1426"/>
      <c r="F115" s="1426"/>
      <c r="G115" s="1426"/>
      <c r="H115" s="1426"/>
      <c r="I115" s="1426"/>
      <c r="J115" s="1426"/>
      <c r="K115" s="1426"/>
      <c r="L115" s="1426"/>
      <c r="M115" s="1426"/>
      <c r="N115" s="1426"/>
      <c r="O115" s="1426"/>
      <c r="P115" s="61"/>
      <c r="Q115" s="17"/>
      <c r="R115" s="1025">
        <f ca="1">IF(T117=1,1,0)</f>
        <v>0</v>
      </c>
      <c r="S115" s="1012" t="s">
        <v>2092</v>
      </c>
      <c r="T115" s="1011">
        <f>IF(AND($T$3=1,RIGHT(S114,2)*1&lt;=$T$4),1,0)</f>
        <v>0</v>
      </c>
      <c r="U115" s="855"/>
      <c r="V115" s="318"/>
      <c r="W115" s="318"/>
      <c r="X115" s="318"/>
      <c r="Y115" s="318"/>
      <c r="Z115" s="318"/>
    </row>
    <row r="116" spans="2:26" ht="15" hidden="1" customHeight="1" x14ac:dyDescent="0.25">
      <c r="B116" s="17"/>
      <c r="C116" s="1049"/>
      <c r="D116" s="1426"/>
      <c r="E116" s="1426"/>
      <c r="F116" s="1426"/>
      <c r="G116" s="1426"/>
      <c r="H116" s="1426"/>
      <c r="I116" s="1426"/>
      <c r="J116" s="1426"/>
      <c r="K116" s="1426"/>
      <c r="L116" s="1426"/>
      <c r="M116" s="1426"/>
      <c r="N116" s="1426"/>
      <c r="O116" s="1426"/>
      <c r="P116" s="61"/>
      <c r="Q116" s="17"/>
      <c r="R116" s="1025">
        <f ca="1">IF(T117=1,1,0)</f>
        <v>0</v>
      </c>
      <c r="S116" s="1012" t="s">
        <v>2095</v>
      </c>
      <c r="T116" s="1011" t="str">
        <f>IF(T115=1,RIGHT(LEFT($T$11,RIGHT(S114,2)*3),3)*1,"-")</f>
        <v>-</v>
      </c>
      <c r="U116" s="855"/>
      <c r="V116" s="318"/>
      <c r="W116" s="318"/>
      <c r="X116" s="318"/>
      <c r="Y116" s="318"/>
      <c r="Z116" s="318"/>
    </row>
    <row r="117" spans="2:26" ht="15" hidden="1" customHeight="1" x14ac:dyDescent="0.25">
      <c r="B117" s="17"/>
      <c r="C117" s="1049"/>
      <c r="D117" s="1426"/>
      <c r="E117" s="1426"/>
      <c r="F117" s="1426"/>
      <c r="G117" s="1426"/>
      <c r="H117" s="1426"/>
      <c r="I117" s="1426"/>
      <c r="J117" s="1426"/>
      <c r="K117" s="1426"/>
      <c r="L117" s="1426"/>
      <c r="M117" s="1426"/>
      <c r="N117" s="1426"/>
      <c r="O117" s="1426"/>
      <c r="P117" s="61"/>
      <c r="Q117" s="17"/>
      <c r="R117" s="1025">
        <f ca="1">IF(T117=1,1,0)</f>
        <v>0</v>
      </c>
      <c r="S117" s="1012" t="s">
        <v>2097</v>
      </c>
      <c r="T117" s="1011" cm="1">
        <f t="array" aca="1" ref="T117" ca="1">IF(AND($T$3=1,T115=1),IF(OR(ISBLANK(INDIRECT("G"&amp;T116)),TRIM(INDIRECT("G"&amp;T116))=""),0,1),0)</f>
        <v>0</v>
      </c>
      <c r="U117" s="855"/>
      <c r="V117" s="318"/>
      <c r="W117" s="318"/>
      <c r="X117" s="318"/>
      <c r="Y117" s="318"/>
      <c r="Z117" s="318"/>
    </row>
    <row r="118" spans="2:26" ht="15" hidden="1" customHeight="1" x14ac:dyDescent="0.25">
      <c r="B118" s="17"/>
      <c r="C118" s="1049"/>
      <c r="D118" s="17"/>
      <c r="E118" s="17"/>
      <c r="F118" s="17"/>
      <c r="G118" s="17"/>
      <c r="H118" s="17"/>
      <c r="I118" s="17"/>
      <c r="J118" s="17"/>
      <c r="K118" s="17"/>
      <c r="L118" s="17"/>
      <c r="M118" s="17"/>
      <c r="N118" s="17"/>
      <c r="O118" s="17"/>
      <c r="P118" s="61"/>
      <c r="Q118" s="17"/>
      <c r="R118" s="1025">
        <f>IF(T115=1,1,0)</f>
        <v>0</v>
      </c>
      <c r="S118" s="1012" t="s">
        <v>2098</v>
      </c>
      <c r="T118" s="1011" cm="1">
        <f t="array" aca="1" ref="T118" ca="1">IF(AND(T115=1,SUBSTITUTE($T$12,"|"&amp;N114&amp;"|","####")&lt;&gt;$T$12),INDIRECT("M"&amp;T116),0)</f>
        <v>0</v>
      </c>
      <c r="U118" s="855"/>
      <c r="V118" s="318"/>
      <c r="W118" s="318"/>
      <c r="X118" s="318"/>
      <c r="Y118" s="318"/>
      <c r="Z118" s="318"/>
    </row>
    <row r="119" spans="2:26" ht="15" hidden="1" customHeight="1" x14ac:dyDescent="0.25">
      <c r="B119" s="17"/>
      <c r="C119" s="1049"/>
      <c r="D119" s="17"/>
      <c r="E119" s="17"/>
      <c r="F119" s="17"/>
      <c r="G119" s="17"/>
      <c r="H119" s="17"/>
      <c r="I119" s="17"/>
      <c r="J119" s="17"/>
      <c r="K119" s="17"/>
      <c r="L119" s="17"/>
      <c r="M119" s="17"/>
      <c r="N119" s="17"/>
      <c r="O119" s="17"/>
      <c r="P119" s="61"/>
      <c r="Q119" s="17"/>
      <c r="R119" s="1026">
        <f ca="1">IF($S$134=2,IF(T119=T125,0,1),0)</f>
        <v>0</v>
      </c>
      <c r="S119" s="306" t="s">
        <v>2210</v>
      </c>
      <c r="T119" s="219" t="str">
        <f ca="1">IF($S$134=2,IF(SUM(R3:R64,R66:R70,R72:R76,R78:R82,R84:R88,R90:R94,R96:R100,R102:R106,R108:R112,R114:R118)&lt;$S$128,"↑ PAGINA 1","↓ PAGINA 2"),"n.v.t.")</f>
        <v>n.v.t.</v>
      </c>
      <c r="U119" s="855"/>
      <c r="V119" s="318"/>
      <c r="W119" s="318"/>
      <c r="X119" s="318"/>
      <c r="Y119" s="318"/>
      <c r="Z119" s="318"/>
    </row>
    <row r="120" spans="2:26" ht="15" hidden="1" customHeight="1" x14ac:dyDescent="0.25">
      <c r="B120" s="17"/>
      <c r="C120" s="1049"/>
      <c r="D120" s="961" t="str" cm="1">
        <f t="array" aca="1" ref="D120" ca="1">IF(T121=1,INDIRECT("E"&amp;T122),"")</f>
        <v/>
      </c>
      <c r="E120" s="379"/>
      <c r="F120" s="379"/>
      <c r="G120" s="379"/>
      <c r="H120" s="379"/>
      <c r="I120" s="379"/>
      <c r="J120" s="379"/>
      <c r="K120" s="379"/>
      <c r="L120" s="379"/>
      <c r="M120" s="419" t="str">
        <f ca="1">Taal04!$B$264&amp;":"</f>
        <v>team selecteren:</v>
      </c>
      <c r="N120" s="1001" t="s">
        <v>62</v>
      </c>
      <c r="O120" s="202" t="s">
        <v>908</v>
      </c>
      <c r="P120" s="61"/>
      <c r="Q120" s="17"/>
      <c r="R120" s="1025">
        <f>IF(T121=1,1,0)</f>
        <v>0</v>
      </c>
      <c r="S120" s="1013" t="str">
        <f>"Team "&amp;RIGHT("00"&amp;RIGHT(S114,2)*1+1,2)</f>
        <v>Team 20</v>
      </c>
      <c r="T120" s="1014" t="str" cm="1">
        <f t="array" aca="1" ref="T120" ca="1">IF(AND($T$3=1,T121=1),INDIRECT("B"&amp;T122),"-")</f>
        <v>-</v>
      </c>
      <c r="U120" s="855"/>
      <c r="V120" s="318"/>
      <c r="W120" s="318"/>
      <c r="X120" s="318"/>
      <c r="Y120" s="318"/>
      <c r="Z120" s="318"/>
    </row>
    <row r="121" spans="2:26" ht="15" hidden="1" customHeight="1" x14ac:dyDescent="0.25">
      <c r="B121" s="17"/>
      <c r="C121" s="1049"/>
      <c r="D121" s="1426" t="str" cm="1">
        <f t="array" aca="1" ref="D121" ca="1">IF(AND(T121=1,T123=1),INDIRECT("G"&amp;T122),"")</f>
        <v/>
      </c>
      <c r="E121" s="1426"/>
      <c r="F121" s="1426"/>
      <c r="G121" s="1426"/>
      <c r="H121" s="1426"/>
      <c r="I121" s="1426"/>
      <c r="J121" s="1426"/>
      <c r="K121" s="1426"/>
      <c r="L121" s="1426"/>
      <c r="M121" s="1426"/>
      <c r="N121" s="1426"/>
      <c r="O121" s="1426"/>
      <c r="P121" s="61"/>
      <c r="Q121" s="17"/>
      <c r="R121" s="1025">
        <f ca="1">IF(T123=1,1,0)</f>
        <v>0</v>
      </c>
      <c r="S121" s="1015" t="s">
        <v>2092</v>
      </c>
      <c r="T121" s="1014">
        <f>IF(AND($T$3=1,RIGHT(S120,2)*1&lt;=$T$4),1,0)</f>
        <v>0</v>
      </c>
      <c r="U121" s="855"/>
      <c r="V121" s="318"/>
      <c r="W121" s="318"/>
      <c r="X121" s="318"/>
      <c r="Y121" s="318"/>
      <c r="Z121" s="318"/>
    </row>
    <row r="122" spans="2:26" ht="15" hidden="1" customHeight="1" x14ac:dyDescent="0.25">
      <c r="B122" s="17"/>
      <c r="C122" s="1049"/>
      <c r="D122" s="1426"/>
      <c r="E122" s="1426"/>
      <c r="F122" s="1426"/>
      <c r="G122" s="1426"/>
      <c r="H122" s="1426"/>
      <c r="I122" s="1426"/>
      <c r="J122" s="1426"/>
      <c r="K122" s="1426"/>
      <c r="L122" s="1426"/>
      <c r="M122" s="1426"/>
      <c r="N122" s="1426"/>
      <c r="O122" s="1426"/>
      <c r="P122" s="61"/>
      <c r="Q122" s="17"/>
      <c r="R122" s="1025">
        <f ca="1">IF(T123=1,1,0)</f>
        <v>0</v>
      </c>
      <c r="S122" s="1015" t="s">
        <v>2095</v>
      </c>
      <c r="T122" s="1014" t="str">
        <f>IF(T121=1,RIGHT(LEFT($T$11,RIGHT(S120,2)*3),3)*1,"-")</f>
        <v>-</v>
      </c>
      <c r="U122" s="855"/>
      <c r="V122" s="318"/>
      <c r="W122" s="318"/>
      <c r="X122" s="318"/>
      <c r="Y122" s="318"/>
      <c r="Z122" s="318"/>
    </row>
    <row r="123" spans="2:26" ht="15" hidden="1" customHeight="1" x14ac:dyDescent="0.25">
      <c r="B123" s="17"/>
      <c r="C123" s="1049"/>
      <c r="D123" s="1426"/>
      <c r="E123" s="1426"/>
      <c r="F123" s="1426"/>
      <c r="G123" s="1426"/>
      <c r="H123" s="1426"/>
      <c r="I123" s="1426"/>
      <c r="J123" s="1426"/>
      <c r="K123" s="1426"/>
      <c r="L123" s="1426"/>
      <c r="M123" s="1426"/>
      <c r="N123" s="1426"/>
      <c r="O123" s="1426"/>
      <c r="P123" s="61"/>
      <c r="Q123" s="17"/>
      <c r="R123" s="1025">
        <f ca="1">IF(T123=1,1,0)</f>
        <v>0</v>
      </c>
      <c r="S123" s="1015" t="s">
        <v>2097</v>
      </c>
      <c r="T123" s="1014" cm="1">
        <f t="array" aca="1" ref="T123" ca="1">IF(AND($T$3=1,T121=1),IF(OR(ISBLANK(INDIRECT("G"&amp;T122)),TRIM(INDIRECT("G"&amp;T122))=""),0,1),0)</f>
        <v>0</v>
      </c>
      <c r="U123" s="855"/>
      <c r="V123" s="318"/>
      <c r="W123" s="318"/>
      <c r="X123" s="318"/>
      <c r="Y123" s="318"/>
      <c r="Z123" s="318"/>
    </row>
    <row r="124" spans="2:26" ht="15" hidden="1" customHeight="1" x14ac:dyDescent="0.25">
      <c r="B124" s="17"/>
      <c r="C124" s="1049"/>
      <c r="D124" s="17"/>
      <c r="E124" s="17"/>
      <c r="F124" s="17"/>
      <c r="G124" s="17"/>
      <c r="H124" s="17"/>
      <c r="I124" s="17"/>
      <c r="J124" s="17"/>
      <c r="K124" s="17"/>
      <c r="L124" s="17"/>
      <c r="M124" s="17"/>
      <c r="N124" s="17"/>
      <c r="O124" s="17"/>
      <c r="P124" s="61"/>
      <c r="Q124" s="17"/>
      <c r="R124" s="1025">
        <f>IF(T121=1,1,0)</f>
        <v>0</v>
      </c>
      <c r="S124" s="1015" t="s">
        <v>2098</v>
      </c>
      <c r="T124" s="1014" cm="1">
        <f t="array" aca="1" ref="T124" ca="1">IF(AND(T121=1,SUBSTITUTE($T$12,"|"&amp;N120&amp;"|","####")&lt;&gt;$T$12),INDIRECT("M"&amp;T122),0)</f>
        <v>0</v>
      </c>
      <c r="U124" s="855"/>
      <c r="V124" s="318"/>
      <c r="W124" s="318"/>
      <c r="X124" s="318"/>
      <c r="Y124" s="318"/>
      <c r="Z124" s="318"/>
    </row>
    <row r="125" spans="2:26" ht="15" hidden="1" customHeight="1" x14ac:dyDescent="0.25">
      <c r="B125" s="17"/>
      <c r="C125" s="1049"/>
      <c r="D125" s="17"/>
      <c r="E125" s="17"/>
      <c r="F125" s="17"/>
      <c r="G125" s="17"/>
      <c r="H125" s="17"/>
      <c r="I125" s="17"/>
      <c r="J125" s="17"/>
      <c r="K125" s="17"/>
      <c r="L125" s="17"/>
      <c r="M125" s="17"/>
      <c r="N125" s="17"/>
      <c r="O125" s="17"/>
      <c r="P125" s="61"/>
      <c r="Q125" s="17"/>
      <c r="R125" s="1025">
        <v>0</v>
      </c>
      <c r="S125" s="306" t="s">
        <v>2210</v>
      </c>
      <c r="T125" s="219" t="str">
        <f ca="1">IF($S$134=2,IF(SUM(R3:R64,R66:R70,R72:R76,R78:R82,R84:R88,R90:R94,R96:R100,R102:R106,R108:R112,R114:R118,R120:R124)&lt;$S$128,"↑ PAGINA 1","↓ PAGINA 2"),"n.v.t.")</f>
        <v>n.v.t.</v>
      </c>
      <c r="U125" s="855"/>
      <c r="V125" s="318"/>
      <c r="W125" s="318"/>
      <c r="X125" s="318"/>
      <c r="Y125" s="318"/>
      <c r="Z125" s="318"/>
    </row>
    <row r="126" spans="2:26" ht="15" customHeight="1" x14ac:dyDescent="0.25">
      <c r="B126" s="17"/>
      <c r="C126" s="1049"/>
      <c r="D126" s="17"/>
      <c r="E126" s="17"/>
      <c r="F126" s="17"/>
      <c r="G126" s="17"/>
      <c r="H126" s="17"/>
      <c r="I126" s="17"/>
      <c r="J126" s="17"/>
      <c r="K126" s="17"/>
      <c r="L126" s="17"/>
      <c r="M126" s="17"/>
      <c r="N126" s="17"/>
      <c r="O126" s="17"/>
      <c r="P126" s="61"/>
      <c r="Q126" s="17"/>
      <c r="R126" s="1026">
        <f ca="1">IF($S$146&gt;0,1,0)</f>
        <v>1</v>
      </c>
      <c r="S126" s="1019"/>
      <c r="T126" s="1019"/>
      <c r="U126" s="855"/>
      <c r="V126" s="318"/>
      <c r="W126" s="318"/>
      <c r="X126" s="318"/>
      <c r="Y126" s="318"/>
      <c r="Z126" s="318"/>
    </row>
    <row r="127" spans="2:26" ht="15" customHeight="1" x14ac:dyDescent="0.25">
      <c r="B127" s="17"/>
      <c r="C127" s="1049"/>
      <c r="D127" s="17"/>
      <c r="E127" s="17"/>
      <c r="F127" s="17"/>
      <c r="G127" s="17"/>
      <c r="H127" s="17"/>
      <c r="I127" s="17"/>
      <c r="J127" s="17"/>
      <c r="K127" s="17"/>
      <c r="L127" s="17"/>
      <c r="M127" s="17"/>
      <c r="N127" s="17"/>
      <c r="O127" s="17"/>
      <c r="P127" s="61"/>
      <c r="Q127" s="17"/>
      <c r="R127" s="1025">
        <f ca="1">IF(COUNTIF($R$126:$R126,1)&lt;$S$146,1,0)</f>
        <v>1</v>
      </c>
      <c r="S127" s="1424" t="s">
        <v>2211</v>
      </c>
      <c r="T127" s="1424"/>
      <c r="U127" s="855"/>
      <c r="V127" s="318"/>
      <c r="Y127" s="318"/>
      <c r="Z127" s="318"/>
    </row>
    <row r="128" spans="2:26" ht="15" customHeight="1" x14ac:dyDescent="0.25">
      <c r="B128" s="17"/>
      <c r="C128" s="1049"/>
      <c r="D128" s="17"/>
      <c r="E128" s="17"/>
      <c r="F128" s="17"/>
      <c r="G128" s="17"/>
      <c r="H128" s="17"/>
      <c r="I128" s="17"/>
      <c r="J128" s="17"/>
      <c r="K128" s="17"/>
      <c r="L128" s="17"/>
      <c r="M128" s="17"/>
      <c r="N128" s="17"/>
      <c r="O128" s="17"/>
      <c r="P128" s="61"/>
      <c r="Q128" s="17"/>
      <c r="R128" s="1025">
        <f ca="1">IF(COUNTIF($R$126:$R127,1)&lt;$S$146,1,0)</f>
        <v>1</v>
      </c>
      <c r="S128" s="1423">
        <v>67</v>
      </c>
      <c r="T128" s="1423"/>
      <c r="U128" s="855"/>
      <c r="V128" s="856"/>
      <c r="W128" s="856"/>
      <c r="X128" s="856"/>
      <c r="Y128" s="318"/>
      <c r="Z128" s="318"/>
    </row>
    <row r="129" spans="2:26" ht="15" customHeight="1" x14ac:dyDescent="0.25">
      <c r="B129" s="17"/>
      <c r="C129" s="1049"/>
      <c r="D129" s="17"/>
      <c r="E129" s="17"/>
      <c r="F129" s="17"/>
      <c r="G129" s="17"/>
      <c r="H129" s="17"/>
      <c r="I129" s="17"/>
      <c r="J129" s="17"/>
      <c r="K129" s="17"/>
      <c r="L129" s="17"/>
      <c r="M129" s="17"/>
      <c r="N129" s="17"/>
      <c r="O129" s="17"/>
      <c r="P129" s="61"/>
      <c r="Q129" s="17"/>
      <c r="R129" s="1025">
        <f ca="1">IF(COUNTIF($R$126:$R128,1)&lt;$S$146,1,0)</f>
        <v>1</v>
      </c>
      <c r="S129" s="1019"/>
      <c r="T129" s="1019"/>
      <c r="U129" s="855"/>
      <c r="V129" s="318"/>
      <c r="W129" s="318"/>
      <c r="X129" s="318"/>
      <c r="Y129" s="318"/>
      <c r="Z129" s="318"/>
    </row>
    <row r="130" spans="2:26" ht="15" customHeight="1" x14ac:dyDescent="0.25">
      <c r="B130" s="17"/>
      <c r="C130" s="1049"/>
      <c r="D130" s="17"/>
      <c r="E130" s="17"/>
      <c r="F130" s="17"/>
      <c r="G130" s="17"/>
      <c r="H130" s="17"/>
      <c r="I130" s="17"/>
      <c r="J130" s="17"/>
      <c r="K130" s="17"/>
      <c r="L130" s="17"/>
      <c r="M130" s="17"/>
      <c r="N130" s="17"/>
      <c r="O130" s="17"/>
      <c r="P130" s="61"/>
      <c r="Q130" s="17"/>
      <c r="R130" s="1025">
        <f ca="1">IF(COUNTIF($R$126:$R129,1)&lt;$S$146,1,0)</f>
        <v>1</v>
      </c>
      <c r="S130" s="1424" t="s">
        <v>2208</v>
      </c>
      <c r="T130" s="1424"/>
      <c r="U130" s="855"/>
      <c r="V130" s="318"/>
      <c r="W130" s="318"/>
      <c r="Y130" s="318"/>
      <c r="Z130" s="318"/>
    </row>
    <row r="131" spans="2:26" ht="15" customHeight="1" x14ac:dyDescent="0.25">
      <c r="B131" s="17"/>
      <c r="C131" s="1049"/>
      <c r="D131" s="17"/>
      <c r="E131" s="17"/>
      <c r="F131" s="17"/>
      <c r="G131" s="17"/>
      <c r="H131" s="17"/>
      <c r="I131" s="17"/>
      <c r="J131" s="17"/>
      <c r="K131" s="17"/>
      <c r="L131" s="17"/>
      <c r="M131" s="17"/>
      <c r="N131" s="17"/>
      <c r="O131" s="17"/>
      <c r="P131" s="61"/>
      <c r="Q131" s="17"/>
      <c r="R131" s="1025">
        <f ca="1">IF(COUNTIF($R$126:$R130,1)&lt;$S$146,1,0)</f>
        <v>1</v>
      </c>
      <c r="S131" s="1423">
        <f ca="1">SUM($R$3:$R$64,$R$66:$R$70,$R$72:$R$76,$R$78:$R$82,$R$84:$R$88,$R$90:$R$94,$R$96:$R$100,$R$102:$R$106,$R$108:$R$112,$R$114:$R$118,$R$120:$R$124,$R$188:$R$190)</f>
        <v>15</v>
      </c>
      <c r="T131" s="1423"/>
      <c r="U131" s="855"/>
      <c r="W131" s="318"/>
      <c r="X131" s="318"/>
      <c r="Y131" s="318"/>
      <c r="Z131" s="318"/>
    </row>
    <row r="132" spans="2:26" ht="15" customHeight="1" x14ac:dyDescent="0.25">
      <c r="B132" s="17"/>
      <c r="C132" s="1049"/>
      <c r="D132" s="17"/>
      <c r="E132" s="17"/>
      <c r="F132" s="17"/>
      <c r="G132" s="17"/>
      <c r="H132" s="17"/>
      <c r="I132" s="17"/>
      <c r="J132" s="17"/>
      <c r="K132" s="17"/>
      <c r="L132" s="17"/>
      <c r="M132" s="17"/>
      <c r="N132" s="17"/>
      <c r="O132" s="17"/>
      <c r="P132" s="61"/>
      <c r="Q132" s="17"/>
      <c r="R132" s="1025">
        <f ca="1">IF(COUNTIF($R$126:$R131,1)&lt;$S$146,1,0)</f>
        <v>1</v>
      </c>
      <c r="S132" s="1019"/>
      <c r="T132" s="1019"/>
      <c r="U132" s="855"/>
      <c r="V132" s="318"/>
      <c r="W132" s="318"/>
      <c r="Y132" s="318"/>
      <c r="Z132" s="318"/>
    </row>
    <row r="133" spans="2:26" ht="15" customHeight="1" x14ac:dyDescent="0.25">
      <c r="B133" s="17"/>
      <c r="C133" s="1049"/>
      <c r="D133" s="17"/>
      <c r="E133" s="17"/>
      <c r="F133" s="17"/>
      <c r="G133" s="17"/>
      <c r="H133" s="17"/>
      <c r="I133" s="17"/>
      <c r="J133" s="17"/>
      <c r="K133" s="17"/>
      <c r="L133" s="17"/>
      <c r="M133" s="17"/>
      <c r="N133" s="17"/>
      <c r="O133" s="17"/>
      <c r="P133" s="61"/>
      <c r="Q133" s="17"/>
      <c r="R133" s="1025">
        <f ca="1">IF(COUNTIF($R$126:$R132,1)&lt;$S$146,1,0)</f>
        <v>1</v>
      </c>
      <c r="S133" s="1424" t="s">
        <v>2212</v>
      </c>
      <c r="T133" s="1424"/>
      <c r="U133" s="855"/>
      <c r="V133" s="318"/>
      <c r="W133" s="318"/>
      <c r="Y133" s="318"/>
      <c r="Z133" s="318"/>
    </row>
    <row r="134" spans="2:26" ht="15" customHeight="1" x14ac:dyDescent="0.25">
      <c r="B134" s="17"/>
      <c r="C134" s="1049"/>
      <c r="D134" s="17"/>
      <c r="E134" s="17"/>
      <c r="F134" s="17"/>
      <c r="G134" s="17"/>
      <c r="H134" s="17"/>
      <c r="I134" s="17"/>
      <c r="J134" s="17"/>
      <c r="K134" s="17"/>
      <c r="L134" s="17"/>
      <c r="M134" s="17"/>
      <c r="N134" s="17"/>
      <c r="O134" s="17"/>
      <c r="P134" s="61"/>
      <c r="Q134" s="17"/>
      <c r="R134" s="1025">
        <f ca="1">IF(COUNTIF($R$126:$R133,1)&lt;$S$146,1,0)</f>
        <v>1</v>
      </c>
      <c r="S134" s="1423">
        <f ca="1">IF($S$131&lt;=$S$128,1,2)</f>
        <v>1</v>
      </c>
      <c r="T134" s="1423"/>
      <c r="U134" s="855"/>
      <c r="V134" s="318"/>
      <c r="W134" s="318"/>
      <c r="Y134" s="318"/>
      <c r="Z134" s="318"/>
    </row>
    <row r="135" spans="2:26" ht="15" customHeight="1" x14ac:dyDescent="0.25">
      <c r="B135" s="17"/>
      <c r="C135" s="1049"/>
      <c r="D135" s="17"/>
      <c r="E135" s="17"/>
      <c r="F135" s="17"/>
      <c r="G135" s="17"/>
      <c r="H135" s="17"/>
      <c r="I135" s="17"/>
      <c r="J135" s="17"/>
      <c r="K135" s="17"/>
      <c r="L135" s="17"/>
      <c r="M135" s="17"/>
      <c r="N135" s="17"/>
      <c r="O135" s="17"/>
      <c r="P135" s="61"/>
      <c r="Q135" s="17"/>
      <c r="R135" s="1025">
        <f ca="1">IF(COUNTIF($R$126:$R134,1)&lt;$S$146,1,0)</f>
        <v>1</v>
      </c>
      <c r="S135" s="1019"/>
      <c r="T135" s="1019"/>
      <c r="U135" s="855"/>
      <c r="V135" s="318"/>
      <c r="W135" s="318"/>
      <c r="Y135" s="318"/>
      <c r="Z135" s="318"/>
    </row>
    <row r="136" spans="2:26" ht="15" customHeight="1" x14ac:dyDescent="0.25">
      <c r="B136" s="17"/>
      <c r="C136" s="1049"/>
      <c r="D136" s="17"/>
      <c r="E136" s="17"/>
      <c r="F136" s="17"/>
      <c r="G136" s="17"/>
      <c r="H136" s="17"/>
      <c r="I136" s="17"/>
      <c r="J136" s="17"/>
      <c r="K136" s="17"/>
      <c r="L136" s="17"/>
      <c r="M136" s="17"/>
      <c r="N136" s="17"/>
      <c r="O136" s="17"/>
      <c r="P136" s="61"/>
      <c r="Q136" s="17"/>
      <c r="R136" s="1025">
        <f ca="1">IF(COUNTIF($R$126:$R135,1)&lt;$S$146,1,0)</f>
        <v>1</v>
      </c>
      <c r="S136" s="1424" t="s">
        <v>2213</v>
      </c>
      <c r="T136" s="1424"/>
      <c r="U136" s="855"/>
      <c r="V136" s="318"/>
      <c r="W136" s="318"/>
      <c r="Y136" s="318"/>
      <c r="Z136" s="318"/>
    </row>
    <row r="137" spans="2:26" ht="15" customHeight="1" x14ac:dyDescent="0.25">
      <c r="B137" s="17"/>
      <c r="C137" s="1049"/>
      <c r="D137" s="17"/>
      <c r="E137" s="17"/>
      <c r="F137" s="17"/>
      <c r="G137" s="17"/>
      <c r="H137" s="17"/>
      <c r="I137" s="17"/>
      <c r="J137" s="17"/>
      <c r="K137" s="17"/>
      <c r="L137" s="17"/>
      <c r="M137" s="17"/>
      <c r="N137" s="17"/>
      <c r="O137" s="17"/>
      <c r="P137" s="61"/>
      <c r="Q137" s="17"/>
      <c r="R137" s="1025">
        <f ca="1">IF(COUNTIF($R$126:$R136,1)&lt;$S$146,1,0)</f>
        <v>1</v>
      </c>
      <c r="S137" s="1423" t="str">
        <f ca="1">IF($S$134=2,IF($R$65=1,ROW($R$65),IF($R$71=1,ROW($R$71),IF($R$77=1,ROW($R$77),IF($R$83=1,ROW($R$83),IF($R$89=1,ROW($R$89),IF($R$95=1,ROW($R$95),IF($R$101=1,ROW($R$101),IF($R$107=1,ROW($R$107),IF($R$113=1,ROW($R$113),IF($R$119=1,ROW($R$119),"n.v.t.")))))))))),"n.v.t.")</f>
        <v>n.v.t.</v>
      </c>
      <c r="T137" s="1423"/>
      <c r="U137" s="855"/>
      <c r="V137" s="318"/>
      <c r="W137" s="318"/>
      <c r="X137" s="318"/>
      <c r="Y137" s="318"/>
      <c r="Z137" s="318"/>
    </row>
    <row r="138" spans="2:26" ht="15" customHeight="1" x14ac:dyDescent="0.25">
      <c r="B138" s="17"/>
      <c r="C138" s="1049"/>
      <c r="D138" s="17"/>
      <c r="E138" s="17"/>
      <c r="F138" s="17"/>
      <c r="G138" s="17"/>
      <c r="H138" s="17"/>
      <c r="I138" s="17"/>
      <c r="J138" s="17"/>
      <c r="K138" s="17"/>
      <c r="L138" s="17"/>
      <c r="M138" s="17"/>
      <c r="N138" s="17"/>
      <c r="O138" s="17"/>
      <c r="P138" s="61"/>
      <c r="Q138" s="17"/>
      <c r="R138" s="1025">
        <f ca="1">IF(COUNTIF($R$126:$R137,1)&lt;$S$146,1,0)</f>
        <v>1</v>
      </c>
      <c r="S138" s="1019"/>
      <c r="T138" s="1019"/>
      <c r="U138" s="855"/>
      <c r="V138" s="318"/>
      <c r="W138" s="318"/>
      <c r="X138" s="318"/>
      <c r="Y138" s="318"/>
      <c r="Z138" s="318"/>
    </row>
    <row r="139" spans="2:26" ht="15" customHeight="1" x14ac:dyDescent="0.25">
      <c r="B139" s="17"/>
      <c r="C139" s="1049"/>
      <c r="D139" s="17"/>
      <c r="E139" s="17"/>
      <c r="F139" s="17"/>
      <c r="G139" s="17"/>
      <c r="H139" s="17"/>
      <c r="I139" s="17"/>
      <c r="J139" s="17"/>
      <c r="K139" s="17"/>
      <c r="L139" s="17"/>
      <c r="M139" s="17"/>
      <c r="N139" s="17"/>
      <c r="O139" s="17"/>
      <c r="P139" s="61"/>
      <c r="Q139" s="17"/>
      <c r="R139" s="1025">
        <f ca="1">IF(COUNTIF($R$126:$R138,1)&lt;$S$146,1,0)</f>
        <v>1</v>
      </c>
      <c r="S139" s="1424" t="s">
        <v>2209</v>
      </c>
      <c r="T139" s="1424"/>
      <c r="U139" s="855"/>
      <c r="V139" s="318"/>
      <c r="W139" s="318"/>
      <c r="X139" s="318"/>
      <c r="Y139" s="318"/>
      <c r="Z139" s="318"/>
    </row>
    <row r="140" spans="2:26" ht="15" customHeight="1" x14ac:dyDescent="0.25">
      <c r="B140" s="17"/>
      <c r="C140" s="1049"/>
      <c r="D140" s="17"/>
      <c r="E140" s="17"/>
      <c r="F140" s="17"/>
      <c r="G140" s="17"/>
      <c r="H140" s="17"/>
      <c r="I140" s="17"/>
      <c r="J140" s="17"/>
      <c r="K140" s="17"/>
      <c r="L140" s="17"/>
      <c r="M140" s="17"/>
      <c r="N140" s="17"/>
      <c r="O140" s="17"/>
      <c r="P140" s="61"/>
      <c r="Q140" s="17"/>
      <c r="R140" s="1025">
        <f ca="1">IF(COUNTIF($R$126:$R139,1)&lt;$S$146,1,0)</f>
        <v>1</v>
      </c>
      <c r="S140" s="1423" t="str">
        <f ca="1">IF($S$134=1,"n.v.t.",COUNTIF(INDIRECT("$R$3:$R$"&amp;$S$137),1))</f>
        <v>n.v.t.</v>
      </c>
      <c r="T140" s="1423"/>
      <c r="U140" s="855"/>
      <c r="V140" s="318"/>
      <c r="W140" s="318"/>
      <c r="X140" s="318"/>
      <c r="Y140" s="318"/>
      <c r="Z140" s="318"/>
    </row>
    <row r="141" spans="2:26" ht="15" customHeight="1" x14ac:dyDescent="0.25">
      <c r="B141" s="17"/>
      <c r="C141" s="1049"/>
      <c r="D141" s="17"/>
      <c r="E141" s="17"/>
      <c r="F141" s="17"/>
      <c r="G141" s="17"/>
      <c r="H141" s="17"/>
      <c r="I141" s="17"/>
      <c r="J141" s="17"/>
      <c r="K141" s="17"/>
      <c r="L141" s="17"/>
      <c r="M141" s="17"/>
      <c r="N141" s="17"/>
      <c r="O141" s="17"/>
      <c r="P141" s="61"/>
      <c r="Q141" s="17"/>
      <c r="R141" s="1025">
        <f ca="1">IF(COUNTIF($R$126:$R140,1)&lt;$S$146,1,0)</f>
        <v>1</v>
      </c>
      <c r="S141" s="1019"/>
      <c r="T141" s="1019"/>
      <c r="U141" s="855"/>
      <c r="V141" s="318"/>
      <c r="W141" s="318"/>
      <c r="X141" s="318"/>
      <c r="Y141" s="318"/>
      <c r="Z141" s="318"/>
    </row>
    <row r="142" spans="2:26" ht="15" customHeight="1" x14ac:dyDescent="0.25">
      <c r="B142" s="17"/>
      <c r="C142" s="1049"/>
      <c r="D142" s="17"/>
      <c r="E142" s="17"/>
      <c r="F142" s="17"/>
      <c r="G142" s="17"/>
      <c r="H142" s="17"/>
      <c r="I142" s="17"/>
      <c r="J142" s="17"/>
      <c r="K142" s="17"/>
      <c r="L142" s="17"/>
      <c r="M142" s="17"/>
      <c r="N142" s="17"/>
      <c r="O142" s="17"/>
      <c r="P142" s="61"/>
      <c r="Q142" s="17"/>
      <c r="R142" s="1025">
        <f ca="1">IF(COUNTIF($R$126:$R141,1)&lt;$S$146,1,0)</f>
        <v>1</v>
      </c>
      <c r="S142" s="1424" t="s">
        <v>2214</v>
      </c>
      <c r="T142" s="1424"/>
      <c r="U142" s="855"/>
      <c r="V142" s="318"/>
      <c r="W142" s="318"/>
      <c r="X142" s="318"/>
      <c r="Y142" s="318"/>
      <c r="Z142" s="318"/>
    </row>
    <row r="143" spans="2:26" ht="15" customHeight="1" x14ac:dyDescent="0.25">
      <c r="B143" s="17"/>
      <c r="C143" s="1049"/>
      <c r="D143" s="17"/>
      <c r="E143" s="17"/>
      <c r="F143" s="17"/>
      <c r="G143" s="17"/>
      <c r="H143" s="17"/>
      <c r="I143" s="17"/>
      <c r="J143" s="17"/>
      <c r="K143" s="17"/>
      <c r="L143" s="17"/>
      <c r="M143" s="17"/>
      <c r="N143" s="17"/>
      <c r="O143" s="17"/>
      <c r="P143" s="61"/>
      <c r="Q143" s="17"/>
      <c r="R143" s="1025">
        <f ca="1">IF(COUNTIF($R$126:$R142,1)&lt;$S$146,1,0)</f>
        <v>1</v>
      </c>
      <c r="S143" s="1423" t="str">
        <f ca="1">IF($S$134=2,$S$140,"n.v.t.")</f>
        <v>n.v.t.</v>
      </c>
      <c r="T143" s="1423"/>
      <c r="U143" s="855"/>
      <c r="V143" s="318"/>
      <c r="W143" s="318"/>
      <c r="X143" s="318"/>
      <c r="Y143" s="318"/>
      <c r="Z143" s="318"/>
    </row>
    <row r="144" spans="2:26" ht="15" customHeight="1" x14ac:dyDescent="0.25">
      <c r="B144" s="17"/>
      <c r="C144" s="1049"/>
      <c r="D144" s="17"/>
      <c r="E144" s="17"/>
      <c r="F144" s="17"/>
      <c r="G144" s="17"/>
      <c r="H144" s="17"/>
      <c r="I144" s="17"/>
      <c r="J144" s="17"/>
      <c r="K144" s="17"/>
      <c r="L144" s="17"/>
      <c r="M144" s="17"/>
      <c r="N144" s="17"/>
      <c r="O144" s="17"/>
      <c r="P144" s="61"/>
      <c r="Q144" s="17"/>
      <c r="R144" s="1025">
        <f ca="1">IF(COUNTIF($R$126:$R143,1)&lt;$S$146,1,0)</f>
        <v>1</v>
      </c>
      <c r="S144" s="1019"/>
      <c r="T144" s="1019"/>
      <c r="U144" s="855"/>
      <c r="V144" s="318"/>
      <c r="W144" s="318"/>
      <c r="X144" s="318"/>
      <c r="Y144" s="318"/>
      <c r="Z144" s="318"/>
    </row>
    <row r="145" spans="2:26" ht="15" customHeight="1" x14ac:dyDescent="0.25">
      <c r="B145" s="17"/>
      <c r="C145" s="1049"/>
      <c r="D145" s="17"/>
      <c r="E145" s="17"/>
      <c r="F145" s="17"/>
      <c r="G145" s="17"/>
      <c r="H145" s="17"/>
      <c r="I145" s="17"/>
      <c r="J145" s="17"/>
      <c r="K145" s="17"/>
      <c r="L145" s="17"/>
      <c r="M145" s="17"/>
      <c r="N145" s="17"/>
      <c r="O145" s="17"/>
      <c r="P145" s="61"/>
      <c r="Q145" s="17"/>
      <c r="R145" s="1025">
        <f ca="1">IF(COUNTIF($R$126:$R144,1)&lt;$S$146,1,0)</f>
        <v>1</v>
      </c>
      <c r="S145" s="1424" t="s">
        <v>2215</v>
      </c>
      <c r="T145" s="1424"/>
      <c r="U145" s="855"/>
      <c r="V145" s="318"/>
      <c r="W145" s="318"/>
      <c r="X145" s="318"/>
      <c r="Y145" s="318"/>
      <c r="Z145" s="318"/>
    </row>
    <row r="146" spans="2:26" ht="15" customHeight="1" x14ac:dyDescent="0.25">
      <c r="B146" s="17"/>
      <c r="C146" s="1049"/>
      <c r="D146" s="17"/>
      <c r="E146" s="17"/>
      <c r="F146" s="17"/>
      <c r="G146" s="17"/>
      <c r="H146" s="17"/>
      <c r="I146" s="17"/>
      <c r="J146" s="17"/>
      <c r="K146" s="17"/>
      <c r="L146" s="17"/>
      <c r="M146" s="17"/>
      <c r="N146" s="17"/>
      <c r="O146" s="17"/>
      <c r="P146" s="61"/>
      <c r="Q146" s="17"/>
      <c r="R146" s="1025">
        <f ca="1">IF(COUNTIF($R$126:$R145,1)&lt;$S$146,1,0)</f>
        <v>1</v>
      </c>
      <c r="S146" s="1423">
        <f ca="1">IF($S$134=1,$S$128-$S$131,$S$140+$S$143-$S$131-2)</f>
        <v>52</v>
      </c>
      <c r="T146" s="1423"/>
      <c r="U146" s="855"/>
      <c r="V146" s="318"/>
      <c r="W146" s="318"/>
      <c r="X146" s="318"/>
      <c r="Y146" s="318"/>
      <c r="Z146" s="318"/>
    </row>
    <row r="147" spans="2:26" ht="15" customHeight="1" x14ac:dyDescent="0.25">
      <c r="B147" s="17"/>
      <c r="C147" s="1049"/>
      <c r="D147" s="17"/>
      <c r="E147" s="17"/>
      <c r="F147" s="17"/>
      <c r="G147" s="17"/>
      <c r="H147" s="17"/>
      <c r="I147" s="17"/>
      <c r="J147" s="17"/>
      <c r="K147" s="17"/>
      <c r="L147" s="17"/>
      <c r="M147" s="17"/>
      <c r="N147" s="17"/>
      <c r="O147" s="17"/>
      <c r="P147" s="61"/>
      <c r="Q147" s="17"/>
      <c r="R147" s="1025">
        <f ca="1">IF(COUNTIF($R$126:$R146,1)&lt;$S$146,1,0)</f>
        <v>1</v>
      </c>
      <c r="S147" s="1019"/>
      <c r="T147" s="1019"/>
      <c r="U147" s="855"/>
      <c r="V147" s="318"/>
      <c r="W147" s="318"/>
      <c r="X147" s="318"/>
      <c r="Y147" s="318"/>
      <c r="Z147" s="318"/>
    </row>
    <row r="148" spans="2:26" ht="15" customHeight="1" x14ac:dyDescent="0.25">
      <c r="B148" s="17"/>
      <c r="C148" s="1049"/>
      <c r="D148" s="17"/>
      <c r="E148" s="17"/>
      <c r="F148" s="17"/>
      <c r="G148" s="17"/>
      <c r="H148" s="17"/>
      <c r="I148" s="17"/>
      <c r="J148" s="17"/>
      <c r="K148" s="17"/>
      <c r="L148" s="17"/>
      <c r="M148" s="17"/>
      <c r="N148" s="17"/>
      <c r="O148" s="17"/>
      <c r="P148" s="61"/>
      <c r="Q148" s="17"/>
      <c r="R148" s="1025">
        <f ca="1">IF(COUNTIF($R$126:$R147,1)&lt;$S$146,1,0)</f>
        <v>1</v>
      </c>
      <c r="S148" s="1019"/>
      <c r="T148" s="1019"/>
      <c r="U148" s="855"/>
      <c r="V148" s="318"/>
      <c r="W148" s="318"/>
      <c r="X148" s="318"/>
      <c r="Y148" s="318"/>
      <c r="Z148" s="318"/>
    </row>
    <row r="149" spans="2:26" ht="15" customHeight="1" x14ac:dyDescent="0.25">
      <c r="B149" s="17"/>
      <c r="C149" s="1049"/>
      <c r="D149" s="17"/>
      <c r="E149" s="17"/>
      <c r="F149" s="17"/>
      <c r="G149" s="17"/>
      <c r="H149" s="17"/>
      <c r="I149" s="17"/>
      <c r="J149" s="17"/>
      <c r="K149" s="17"/>
      <c r="L149" s="17"/>
      <c r="M149" s="17"/>
      <c r="N149" s="17"/>
      <c r="O149" s="17"/>
      <c r="P149" s="61"/>
      <c r="Q149" s="17"/>
      <c r="R149" s="1025">
        <f ca="1">IF(COUNTIF($R$126:$R148,1)&lt;$S$146,1,0)</f>
        <v>1</v>
      </c>
      <c r="S149" s="1019"/>
      <c r="T149" s="1019"/>
      <c r="U149" s="855"/>
      <c r="V149" s="318"/>
      <c r="W149" s="318"/>
      <c r="X149" s="318"/>
      <c r="Y149" s="318"/>
      <c r="Z149" s="318"/>
    </row>
    <row r="150" spans="2:26" ht="15" customHeight="1" x14ac:dyDescent="0.25">
      <c r="B150" s="17"/>
      <c r="C150" s="1049"/>
      <c r="D150" s="17"/>
      <c r="E150" s="17"/>
      <c r="F150" s="17"/>
      <c r="G150" s="17"/>
      <c r="H150" s="17"/>
      <c r="I150" s="17"/>
      <c r="J150" s="17"/>
      <c r="K150" s="17"/>
      <c r="L150" s="17"/>
      <c r="M150" s="17"/>
      <c r="N150" s="17"/>
      <c r="O150" s="17"/>
      <c r="P150" s="61"/>
      <c r="Q150" s="17"/>
      <c r="R150" s="1025">
        <f ca="1">IF(COUNTIF($R$126:$R149,1)&lt;$S$146,1,0)</f>
        <v>1</v>
      </c>
      <c r="S150" s="1019"/>
      <c r="T150" s="1019"/>
      <c r="U150" s="855"/>
      <c r="V150" s="318"/>
      <c r="W150" s="318"/>
      <c r="X150" s="318"/>
      <c r="Y150" s="318"/>
      <c r="Z150" s="318"/>
    </row>
    <row r="151" spans="2:26" ht="15" customHeight="1" x14ac:dyDescent="0.25">
      <c r="B151" s="17"/>
      <c r="C151" s="1049"/>
      <c r="D151" s="17"/>
      <c r="E151" s="17"/>
      <c r="F151" s="17"/>
      <c r="G151" s="17"/>
      <c r="H151" s="17"/>
      <c r="I151" s="17"/>
      <c r="J151" s="17"/>
      <c r="K151" s="17"/>
      <c r="L151" s="17"/>
      <c r="M151" s="17"/>
      <c r="N151" s="17"/>
      <c r="O151" s="17"/>
      <c r="P151" s="61"/>
      <c r="Q151" s="17"/>
      <c r="R151" s="1025">
        <f ca="1">IF(COUNTIF($R$126:$R150,1)&lt;$S$146,1,0)</f>
        <v>1</v>
      </c>
      <c r="S151" s="1019"/>
      <c r="T151" s="1019"/>
      <c r="U151" s="855"/>
      <c r="V151" s="318"/>
      <c r="W151" s="318"/>
      <c r="X151" s="318"/>
      <c r="Y151" s="318"/>
      <c r="Z151" s="318"/>
    </row>
    <row r="152" spans="2:26" ht="15" customHeight="1" x14ac:dyDescent="0.25">
      <c r="B152" s="17"/>
      <c r="C152" s="1049"/>
      <c r="D152" s="17"/>
      <c r="E152" s="17"/>
      <c r="F152" s="17"/>
      <c r="G152" s="17"/>
      <c r="H152" s="17"/>
      <c r="I152" s="17"/>
      <c r="J152" s="17"/>
      <c r="K152" s="17"/>
      <c r="L152" s="17"/>
      <c r="M152" s="17"/>
      <c r="N152" s="17"/>
      <c r="O152" s="17"/>
      <c r="P152" s="61"/>
      <c r="Q152" s="17"/>
      <c r="R152" s="1025">
        <f ca="1">IF(COUNTIF($R$126:$R151,1)&lt;$S$146,1,0)</f>
        <v>1</v>
      </c>
      <c r="S152" s="1019"/>
      <c r="T152" s="1019"/>
      <c r="U152" s="855"/>
      <c r="V152" s="318"/>
      <c r="W152" s="318"/>
      <c r="X152" s="318"/>
      <c r="Y152" s="318"/>
      <c r="Z152" s="318"/>
    </row>
    <row r="153" spans="2:26" ht="15" customHeight="1" x14ac:dyDescent="0.25">
      <c r="B153" s="17"/>
      <c r="C153" s="1049"/>
      <c r="D153" s="17"/>
      <c r="E153" s="17"/>
      <c r="F153" s="17"/>
      <c r="G153" s="17"/>
      <c r="H153" s="17"/>
      <c r="I153" s="17"/>
      <c r="J153" s="17"/>
      <c r="K153" s="17"/>
      <c r="L153" s="17"/>
      <c r="M153" s="17"/>
      <c r="N153" s="17"/>
      <c r="O153" s="17"/>
      <c r="P153" s="61"/>
      <c r="Q153" s="17"/>
      <c r="R153" s="1025">
        <f ca="1">IF(COUNTIF($R$126:$R152,1)&lt;$S$146,1,0)</f>
        <v>1</v>
      </c>
      <c r="S153" s="1019"/>
      <c r="T153" s="1019"/>
      <c r="U153" s="855"/>
      <c r="V153" s="318"/>
      <c r="W153" s="318"/>
      <c r="X153" s="318"/>
      <c r="Y153" s="318"/>
      <c r="Z153" s="318"/>
    </row>
    <row r="154" spans="2:26" ht="15" customHeight="1" x14ac:dyDescent="0.25">
      <c r="B154" s="17"/>
      <c r="C154" s="1049"/>
      <c r="D154" s="17"/>
      <c r="E154" s="17"/>
      <c r="F154" s="17"/>
      <c r="G154" s="17"/>
      <c r="H154" s="17"/>
      <c r="I154" s="17"/>
      <c r="J154" s="17"/>
      <c r="K154" s="17"/>
      <c r="L154" s="17"/>
      <c r="M154" s="17"/>
      <c r="N154" s="17"/>
      <c r="O154" s="17"/>
      <c r="P154" s="61"/>
      <c r="Q154" s="17"/>
      <c r="R154" s="1025">
        <f ca="1">IF(COUNTIF($R$126:$R153,1)&lt;$S$146,1,0)</f>
        <v>1</v>
      </c>
      <c r="S154" s="1019"/>
      <c r="T154" s="1019"/>
      <c r="U154" s="855"/>
      <c r="V154" s="318"/>
      <c r="W154" s="318"/>
      <c r="X154" s="318"/>
      <c r="Y154" s="318"/>
      <c r="Z154" s="318"/>
    </row>
    <row r="155" spans="2:26" ht="15" customHeight="1" x14ac:dyDescent="0.25">
      <c r="B155" s="17"/>
      <c r="C155" s="1049"/>
      <c r="D155" s="17"/>
      <c r="E155" s="17"/>
      <c r="F155" s="17"/>
      <c r="G155" s="17"/>
      <c r="H155" s="17"/>
      <c r="I155" s="17"/>
      <c r="J155" s="17"/>
      <c r="K155" s="17"/>
      <c r="L155" s="17"/>
      <c r="M155" s="17"/>
      <c r="N155" s="17"/>
      <c r="O155" s="17"/>
      <c r="P155" s="61"/>
      <c r="Q155" s="17"/>
      <c r="R155" s="1025">
        <f ca="1">IF(COUNTIF($R$126:$R154,1)&lt;$S$146,1,0)</f>
        <v>1</v>
      </c>
      <c r="S155" s="1019"/>
      <c r="T155" s="1019"/>
      <c r="U155" s="855"/>
      <c r="V155" s="318"/>
      <c r="W155" s="318"/>
      <c r="X155" s="318"/>
      <c r="Y155" s="318"/>
      <c r="Z155" s="318"/>
    </row>
    <row r="156" spans="2:26" ht="15" customHeight="1" x14ac:dyDescent="0.25">
      <c r="B156" s="17"/>
      <c r="C156" s="1049"/>
      <c r="D156" s="17"/>
      <c r="E156" s="17"/>
      <c r="F156" s="17"/>
      <c r="G156" s="17"/>
      <c r="H156" s="17"/>
      <c r="I156" s="17"/>
      <c r="J156" s="17"/>
      <c r="K156" s="17"/>
      <c r="L156" s="17"/>
      <c r="M156" s="17"/>
      <c r="N156" s="17"/>
      <c r="O156" s="17"/>
      <c r="P156" s="61"/>
      <c r="Q156" s="17"/>
      <c r="R156" s="1025">
        <f ca="1">IF(COUNTIF($R$126:$R155,1)&lt;$S$146,1,0)</f>
        <v>1</v>
      </c>
      <c r="S156" s="1019"/>
      <c r="T156" s="1019"/>
      <c r="U156" s="855"/>
      <c r="V156" s="318"/>
      <c r="W156" s="318"/>
      <c r="X156" s="318"/>
      <c r="Y156" s="318"/>
      <c r="Z156" s="318"/>
    </row>
    <row r="157" spans="2:26" ht="15" customHeight="1" x14ac:dyDescent="0.25">
      <c r="B157" s="17"/>
      <c r="C157" s="1049"/>
      <c r="D157" s="17"/>
      <c r="E157" s="17"/>
      <c r="F157" s="17"/>
      <c r="G157" s="17"/>
      <c r="H157" s="17"/>
      <c r="I157" s="17"/>
      <c r="J157" s="17"/>
      <c r="K157" s="17"/>
      <c r="L157" s="17"/>
      <c r="M157" s="17"/>
      <c r="N157" s="17"/>
      <c r="O157" s="17"/>
      <c r="P157" s="61"/>
      <c r="Q157" s="17"/>
      <c r="R157" s="1025">
        <f ca="1">IF(COUNTIF($R$126:$R156,1)&lt;$S$146,1,0)</f>
        <v>1</v>
      </c>
      <c r="S157" s="1019"/>
      <c r="T157" s="1019"/>
      <c r="U157" s="855"/>
      <c r="V157" s="318"/>
      <c r="W157" s="318"/>
      <c r="X157" s="318"/>
      <c r="Y157" s="318"/>
      <c r="Z157" s="318"/>
    </row>
    <row r="158" spans="2:26" ht="15" customHeight="1" x14ac:dyDescent="0.25">
      <c r="B158" s="17"/>
      <c r="C158" s="1049"/>
      <c r="D158" s="17"/>
      <c r="E158" s="17"/>
      <c r="F158" s="17"/>
      <c r="G158" s="17"/>
      <c r="H158" s="17"/>
      <c r="I158" s="17"/>
      <c r="J158" s="17"/>
      <c r="K158" s="17"/>
      <c r="L158" s="17"/>
      <c r="M158" s="17"/>
      <c r="N158" s="17"/>
      <c r="O158" s="17"/>
      <c r="P158" s="61"/>
      <c r="Q158" s="17"/>
      <c r="R158" s="1025">
        <f ca="1">IF(COUNTIF($R$126:$R157,1)&lt;$S$146,1,0)</f>
        <v>1</v>
      </c>
      <c r="S158" s="1019"/>
      <c r="T158" s="1019"/>
      <c r="U158" s="855"/>
      <c r="V158" s="318"/>
      <c r="W158" s="318"/>
      <c r="X158" s="318"/>
      <c r="Y158" s="318"/>
      <c r="Z158" s="318"/>
    </row>
    <row r="159" spans="2:26" ht="15" customHeight="1" x14ac:dyDescent="0.25">
      <c r="B159" s="17"/>
      <c r="C159" s="1049"/>
      <c r="D159" s="17"/>
      <c r="E159" s="17"/>
      <c r="F159" s="17"/>
      <c r="G159" s="17"/>
      <c r="H159" s="17"/>
      <c r="I159" s="17"/>
      <c r="J159" s="17"/>
      <c r="K159" s="17"/>
      <c r="L159" s="17"/>
      <c r="M159" s="17"/>
      <c r="N159" s="17"/>
      <c r="O159" s="17"/>
      <c r="P159" s="61"/>
      <c r="Q159" s="17"/>
      <c r="R159" s="1025">
        <f ca="1">IF(COUNTIF($R$126:$R158,1)&lt;$S$146,1,0)</f>
        <v>1</v>
      </c>
      <c r="S159" s="1019"/>
      <c r="T159" s="1019"/>
      <c r="U159" s="855"/>
      <c r="V159" s="318"/>
      <c r="W159" s="318"/>
      <c r="X159" s="318"/>
      <c r="Y159" s="318"/>
      <c r="Z159" s="318"/>
    </row>
    <row r="160" spans="2:26" ht="15" customHeight="1" x14ac:dyDescent="0.25">
      <c r="B160" s="17"/>
      <c r="C160" s="1049"/>
      <c r="D160" s="17"/>
      <c r="E160" s="17"/>
      <c r="F160" s="17"/>
      <c r="G160" s="17"/>
      <c r="H160" s="17"/>
      <c r="I160" s="17"/>
      <c r="J160" s="17"/>
      <c r="K160" s="17"/>
      <c r="L160" s="17"/>
      <c r="M160" s="17"/>
      <c r="N160" s="17"/>
      <c r="O160" s="17"/>
      <c r="P160" s="61"/>
      <c r="Q160" s="17"/>
      <c r="R160" s="1025">
        <f ca="1">IF(COUNTIF($R$126:$R159,1)&lt;$S$146,1,0)</f>
        <v>1</v>
      </c>
      <c r="S160" s="1019"/>
      <c r="T160" s="1019"/>
      <c r="U160" s="855"/>
      <c r="V160" s="318"/>
      <c r="W160" s="318"/>
      <c r="X160" s="318"/>
      <c r="Y160" s="318"/>
      <c r="Z160" s="318"/>
    </row>
    <row r="161" spans="2:26" ht="15" customHeight="1" x14ac:dyDescent="0.25">
      <c r="B161" s="17"/>
      <c r="C161" s="1049"/>
      <c r="D161" s="17"/>
      <c r="E161" s="17"/>
      <c r="F161" s="17"/>
      <c r="G161" s="17"/>
      <c r="H161" s="17"/>
      <c r="I161" s="17"/>
      <c r="J161" s="17"/>
      <c r="K161" s="17"/>
      <c r="L161" s="17"/>
      <c r="M161" s="17"/>
      <c r="N161" s="17"/>
      <c r="O161" s="17"/>
      <c r="P161" s="61"/>
      <c r="Q161" s="17"/>
      <c r="R161" s="1025">
        <f ca="1">IF(COUNTIF($R$126:$R160,1)&lt;$S$146,1,0)</f>
        <v>1</v>
      </c>
      <c r="S161" s="1019"/>
      <c r="T161" s="1019"/>
      <c r="U161" s="855"/>
      <c r="V161" s="318"/>
      <c r="W161" s="318"/>
      <c r="X161" s="318"/>
      <c r="Y161" s="318"/>
      <c r="Z161" s="318"/>
    </row>
    <row r="162" spans="2:26" ht="15" customHeight="1" x14ac:dyDescent="0.25">
      <c r="B162" s="17"/>
      <c r="C162" s="1049"/>
      <c r="D162" s="17"/>
      <c r="E162" s="17"/>
      <c r="F162" s="17"/>
      <c r="G162" s="17"/>
      <c r="H162" s="17"/>
      <c r="I162" s="17"/>
      <c r="J162" s="17"/>
      <c r="K162" s="17"/>
      <c r="L162" s="17"/>
      <c r="M162" s="17"/>
      <c r="N162" s="17"/>
      <c r="O162" s="17"/>
      <c r="P162" s="61"/>
      <c r="Q162" s="17"/>
      <c r="R162" s="1025">
        <f ca="1">IF(COUNTIF($R$126:$R161,1)&lt;$S$146,1,0)</f>
        <v>1</v>
      </c>
      <c r="S162" s="1019"/>
      <c r="T162" s="1019"/>
      <c r="U162" s="855"/>
      <c r="V162" s="318"/>
      <c r="W162" s="318"/>
      <c r="X162" s="318"/>
      <c r="Y162" s="318"/>
      <c r="Z162" s="318"/>
    </row>
    <row r="163" spans="2:26" ht="15" customHeight="1" x14ac:dyDescent="0.25">
      <c r="B163" s="17"/>
      <c r="C163" s="1049"/>
      <c r="D163" s="17"/>
      <c r="E163" s="17"/>
      <c r="F163" s="17"/>
      <c r="G163" s="17"/>
      <c r="H163" s="17"/>
      <c r="I163" s="17"/>
      <c r="J163" s="17"/>
      <c r="K163" s="17"/>
      <c r="L163" s="17"/>
      <c r="M163" s="17"/>
      <c r="N163" s="17"/>
      <c r="O163" s="17"/>
      <c r="P163" s="61"/>
      <c r="Q163" s="17"/>
      <c r="R163" s="1025">
        <f ca="1">IF(COUNTIF($R$126:$R162,1)&lt;$S$146,1,0)</f>
        <v>1</v>
      </c>
      <c r="S163" s="1019"/>
      <c r="T163" s="1019"/>
      <c r="U163" s="855"/>
      <c r="V163" s="318"/>
      <c r="W163" s="318"/>
      <c r="X163" s="318"/>
      <c r="Y163" s="318"/>
      <c r="Z163" s="318"/>
    </row>
    <row r="164" spans="2:26" ht="15" customHeight="1" x14ac:dyDescent="0.25">
      <c r="B164" s="17"/>
      <c r="C164" s="1049"/>
      <c r="D164" s="17"/>
      <c r="E164" s="17"/>
      <c r="F164" s="17"/>
      <c r="G164" s="17"/>
      <c r="H164" s="17"/>
      <c r="I164" s="17"/>
      <c r="J164" s="17"/>
      <c r="K164" s="17"/>
      <c r="L164" s="17"/>
      <c r="M164" s="17"/>
      <c r="N164" s="17"/>
      <c r="O164" s="17"/>
      <c r="P164" s="61"/>
      <c r="Q164" s="17"/>
      <c r="R164" s="1025">
        <f ca="1">IF(COUNTIF($R$126:$R163,1)&lt;$S$146,1,0)</f>
        <v>1</v>
      </c>
      <c r="S164" s="1019"/>
      <c r="T164" s="1019"/>
      <c r="U164" s="855"/>
      <c r="V164" s="318"/>
      <c r="W164" s="318"/>
      <c r="X164" s="318"/>
      <c r="Y164" s="318"/>
      <c r="Z164" s="318"/>
    </row>
    <row r="165" spans="2:26" ht="15" customHeight="1" x14ac:dyDescent="0.25">
      <c r="B165" s="17"/>
      <c r="C165" s="1049"/>
      <c r="D165" s="17"/>
      <c r="E165" s="17"/>
      <c r="F165" s="17"/>
      <c r="G165" s="17"/>
      <c r="H165" s="17"/>
      <c r="I165" s="17"/>
      <c r="J165" s="17"/>
      <c r="K165" s="17"/>
      <c r="L165" s="17"/>
      <c r="M165" s="17"/>
      <c r="N165" s="17"/>
      <c r="O165" s="17"/>
      <c r="P165" s="61"/>
      <c r="Q165" s="17"/>
      <c r="R165" s="1025">
        <f ca="1">IF(COUNTIF($R$126:$R164,1)&lt;$S$146,1,0)</f>
        <v>1</v>
      </c>
      <c r="S165" s="1019"/>
      <c r="T165" s="1019"/>
      <c r="U165" s="855"/>
      <c r="V165" s="318"/>
      <c r="W165" s="318"/>
      <c r="X165" s="318"/>
      <c r="Y165" s="318"/>
      <c r="Z165" s="318"/>
    </row>
    <row r="166" spans="2:26" ht="15" customHeight="1" x14ac:dyDescent="0.25">
      <c r="B166" s="17"/>
      <c r="C166" s="1049"/>
      <c r="D166" s="17"/>
      <c r="E166" s="17"/>
      <c r="F166" s="17"/>
      <c r="G166" s="17"/>
      <c r="H166" s="17"/>
      <c r="I166" s="17"/>
      <c r="J166" s="17"/>
      <c r="K166" s="17"/>
      <c r="L166" s="17"/>
      <c r="M166" s="17"/>
      <c r="N166" s="17"/>
      <c r="O166" s="17"/>
      <c r="P166" s="61"/>
      <c r="Q166" s="17"/>
      <c r="R166" s="1025">
        <f ca="1">IF(COUNTIF($R$126:$R165,1)&lt;$S$146,1,0)</f>
        <v>1</v>
      </c>
      <c r="S166" s="1019"/>
      <c r="T166" s="1019"/>
      <c r="U166" s="855"/>
      <c r="V166" s="318"/>
      <c r="W166" s="318"/>
      <c r="X166" s="318"/>
      <c r="Y166" s="318"/>
      <c r="Z166" s="318"/>
    </row>
    <row r="167" spans="2:26" ht="15" customHeight="1" x14ac:dyDescent="0.25">
      <c r="B167" s="17"/>
      <c r="C167" s="1049"/>
      <c r="D167" s="17"/>
      <c r="E167" s="17"/>
      <c r="F167" s="17"/>
      <c r="G167" s="17"/>
      <c r="H167" s="17"/>
      <c r="I167" s="17"/>
      <c r="J167" s="17"/>
      <c r="K167" s="17"/>
      <c r="L167" s="17"/>
      <c r="M167" s="17"/>
      <c r="N167" s="17"/>
      <c r="O167" s="17"/>
      <c r="P167" s="61"/>
      <c r="Q167" s="17"/>
      <c r="R167" s="1025">
        <f ca="1">IF(COUNTIF($R$126:$R166,1)&lt;$S$146,1,0)</f>
        <v>1</v>
      </c>
      <c r="S167" s="1019"/>
      <c r="T167" s="1019"/>
      <c r="U167" s="855"/>
      <c r="V167" s="318"/>
      <c r="W167" s="318"/>
      <c r="X167" s="318"/>
      <c r="Y167" s="318"/>
      <c r="Z167" s="318"/>
    </row>
    <row r="168" spans="2:26" ht="15" customHeight="1" x14ac:dyDescent="0.25">
      <c r="B168" s="17"/>
      <c r="C168" s="1049"/>
      <c r="D168" s="17"/>
      <c r="E168" s="17"/>
      <c r="F168" s="17"/>
      <c r="G168" s="17"/>
      <c r="H168" s="17"/>
      <c r="I168" s="17"/>
      <c r="J168" s="17"/>
      <c r="K168" s="17"/>
      <c r="L168" s="17"/>
      <c r="M168" s="17"/>
      <c r="N168" s="17"/>
      <c r="O168" s="17"/>
      <c r="P168" s="61"/>
      <c r="Q168" s="17"/>
      <c r="R168" s="1025">
        <f ca="1">IF(COUNTIF($R$126:$R167,1)&lt;$S$146,1,0)</f>
        <v>1</v>
      </c>
      <c r="S168" s="1019"/>
      <c r="T168" s="1019"/>
      <c r="U168" s="855"/>
      <c r="V168" s="318"/>
      <c r="W168" s="318"/>
      <c r="X168" s="318"/>
      <c r="Y168" s="318"/>
      <c r="Z168" s="318"/>
    </row>
    <row r="169" spans="2:26" ht="15" customHeight="1" x14ac:dyDescent="0.25">
      <c r="B169" s="17"/>
      <c r="C169" s="1049"/>
      <c r="D169" s="17"/>
      <c r="E169" s="17"/>
      <c r="F169" s="17"/>
      <c r="G169" s="17"/>
      <c r="H169" s="17"/>
      <c r="I169" s="17"/>
      <c r="J169" s="17"/>
      <c r="K169" s="17"/>
      <c r="L169" s="17"/>
      <c r="M169" s="17"/>
      <c r="N169" s="17"/>
      <c r="O169" s="17"/>
      <c r="P169" s="61"/>
      <c r="Q169" s="17"/>
      <c r="R169" s="1025">
        <f ca="1">IF(COUNTIF($R$126:$R168,1)&lt;$S$146,1,0)</f>
        <v>1</v>
      </c>
      <c r="S169" s="1019"/>
      <c r="T169" s="1019"/>
      <c r="U169" s="855"/>
      <c r="V169" s="318"/>
      <c r="W169" s="318"/>
      <c r="X169" s="318"/>
      <c r="Y169" s="318"/>
      <c r="Z169" s="318"/>
    </row>
    <row r="170" spans="2:26" ht="15" customHeight="1" x14ac:dyDescent="0.25">
      <c r="B170" s="17"/>
      <c r="C170" s="1049"/>
      <c r="D170" s="17"/>
      <c r="E170" s="17"/>
      <c r="F170" s="17"/>
      <c r="G170" s="17"/>
      <c r="H170" s="17"/>
      <c r="I170" s="17"/>
      <c r="J170" s="17"/>
      <c r="K170" s="17"/>
      <c r="L170" s="17"/>
      <c r="M170" s="17"/>
      <c r="N170" s="17"/>
      <c r="O170" s="17"/>
      <c r="P170" s="61"/>
      <c r="Q170" s="17"/>
      <c r="R170" s="1025">
        <f ca="1">IF(COUNTIF($R$126:$R169,1)&lt;$S$146,1,0)</f>
        <v>1</v>
      </c>
      <c r="S170" s="1019"/>
      <c r="T170" s="1019"/>
      <c r="U170" s="855"/>
      <c r="V170" s="318"/>
      <c r="W170" s="318"/>
      <c r="X170" s="318"/>
      <c r="Y170" s="318"/>
      <c r="Z170" s="318"/>
    </row>
    <row r="171" spans="2:26" ht="15" customHeight="1" x14ac:dyDescent="0.25">
      <c r="B171" s="17"/>
      <c r="C171" s="1049"/>
      <c r="D171" s="17"/>
      <c r="E171" s="17"/>
      <c r="F171" s="17"/>
      <c r="G171" s="17"/>
      <c r="H171" s="17"/>
      <c r="I171" s="17"/>
      <c r="J171" s="17"/>
      <c r="K171" s="17"/>
      <c r="L171" s="17"/>
      <c r="M171" s="17"/>
      <c r="N171" s="17"/>
      <c r="O171" s="17"/>
      <c r="P171" s="61"/>
      <c r="Q171" s="17"/>
      <c r="R171" s="1025">
        <f ca="1">IF(COUNTIF($R$126:$R170,1)&lt;$S$146,1,0)</f>
        <v>1</v>
      </c>
      <c r="S171" s="1019"/>
      <c r="T171" s="1019"/>
      <c r="U171" s="855"/>
      <c r="V171" s="318"/>
      <c r="W171" s="318"/>
      <c r="X171" s="318"/>
      <c r="Y171" s="318"/>
      <c r="Z171" s="318"/>
    </row>
    <row r="172" spans="2:26" ht="15" customHeight="1" x14ac:dyDescent="0.25">
      <c r="B172" s="17"/>
      <c r="C172" s="1049"/>
      <c r="D172" s="17"/>
      <c r="E172" s="17"/>
      <c r="F172" s="17"/>
      <c r="G172" s="17"/>
      <c r="H172" s="17"/>
      <c r="I172" s="17"/>
      <c r="J172" s="17"/>
      <c r="K172" s="17"/>
      <c r="L172" s="17"/>
      <c r="M172" s="17"/>
      <c r="N172" s="17"/>
      <c r="O172" s="17"/>
      <c r="P172" s="61"/>
      <c r="Q172" s="17"/>
      <c r="R172" s="1025">
        <f ca="1">IF(COUNTIF($R$126:$R171,1)&lt;$S$146,1,0)</f>
        <v>1</v>
      </c>
      <c r="S172" s="1019"/>
      <c r="T172" s="1019"/>
      <c r="U172" s="855"/>
      <c r="V172" s="318"/>
      <c r="W172" s="318"/>
      <c r="X172" s="318"/>
      <c r="Y172" s="318"/>
      <c r="Z172" s="318"/>
    </row>
    <row r="173" spans="2:26" ht="15" customHeight="1" x14ac:dyDescent="0.25">
      <c r="B173" s="17"/>
      <c r="C173" s="1049"/>
      <c r="D173" s="17"/>
      <c r="E173" s="17"/>
      <c r="F173" s="17"/>
      <c r="G173" s="17"/>
      <c r="H173" s="17"/>
      <c r="I173" s="17"/>
      <c r="J173" s="17"/>
      <c r="K173" s="17"/>
      <c r="L173" s="17"/>
      <c r="M173" s="17"/>
      <c r="N173" s="17"/>
      <c r="O173" s="17"/>
      <c r="P173" s="61"/>
      <c r="Q173" s="17"/>
      <c r="R173" s="1025">
        <f ca="1">IF(COUNTIF($R$126:$R172,1)&lt;$S$146,1,0)</f>
        <v>1</v>
      </c>
      <c r="S173" s="1019"/>
      <c r="T173" s="1019"/>
      <c r="U173" s="855"/>
      <c r="V173" s="318"/>
      <c r="W173" s="318"/>
      <c r="X173" s="318"/>
      <c r="Y173" s="318"/>
      <c r="Z173" s="318"/>
    </row>
    <row r="174" spans="2:26" ht="15" customHeight="1" x14ac:dyDescent="0.25">
      <c r="B174" s="17"/>
      <c r="C174" s="1049"/>
      <c r="D174" s="17"/>
      <c r="E174" s="17"/>
      <c r="F174" s="17"/>
      <c r="G174" s="17"/>
      <c r="H174" s="17"/>
      <c r="I174" s="17"/>
      <c r="J174" s="17"/>
      <c r="K174" s="17"/>
      <c r="L174" s="17"/>
      <c r="M174" s="17"/>
      <c r="N174" s="17"/>
      <c r="O174" s="17"/>
      <c r="P174" s="61"/>
      <c r="Q174" s="17"/>
      <c r="R174" s="1025">
        <f ca="1">IF(COUNTIF($R$126:$R173,1)&lt;$S$146,1,0)</f>
        <v>1</v>
      </c>
      <c r="S174" s="1019"/>
      <c r="T174" s="1019"/>
      <c r="U174" s="855"/>
      <c r="V174" s="318"/>
      <c r="W174" s="318"/>
      <c r="X174" s="318"/>
      <c r="Y174" s="318"/>
      <c r="Z174" s="318"/>
    </row>
    <row r="175" spans="2:26" ht="15" customHeight="1" x14ac:dyDescent="0.25">
      <c r="B175" s="17"/>
      <c r="C175" s="1049"/>
      <c r="D175" s="17"/>
      <c r="E175" s="17"/>
      <c r="F175" s="17"/>
      <c r="G175" s="17"/>
      <c r="H175" s="17"/>
      <c r="I175" s="17"/>
      <c r="J175" s="17"/>
      <c r="K175" s="17"/>
      <c r="L175" s="17"/>
      <c r="M175" s="17"/>
      <c r="N175" s="17"/>
      <c r="O175" s="17"/>
      <c r="P175" s="61"/>
      <c r="Q175" s="17"/>
      <c r="R175" s="1025">
        <f ca="1">IF(COUNTIF($R$126:$R174,1)&lt;$S$146,1,0)</f>
        <v>1</v>
      </c>
      <c r="S175" s="1019"/>
      <c r="T175" s="1019"/>
      <c r="U175" s="855"/>
      <c r="V175" s="318"/>
      <c r="W175" s="318"/>
      <c r="X175" s="318"/>
      <c r="Y175" s="318"/>
      <c r="Z175" s="318"/>
    </row>
    <row r="176" spans="2:26" ht="15" customHeight="1" x14ac:dyDescent="0.25">
      <c r="B176" s="17"/>
      <c r="C176" s="1049"/>
      <c r="D176" s="17"/>
      <c r="E176" s="17"/>
      <c r="F176" s="17"/>
      <c r="G176" s="17"/>
      <c r="H176" s="17"/>
      <c r="I176" s="17"/>
      <c r="J176" s="17"/>
      <c r="K176" s="17"/>
      <c r="L176" s="17"/>
      <c r="M176" s="17"/>
      <c r="N176" s="17"/>
      <c r="O176" s="17"/>
      <c r="P176" s="61"/>
      <c r="Q176" s="17"/>
      <c r="R176" s="1025">
        <f ca="1">IF(COUNTIF($R$126:$R175,1)&lt;$S$146,1,0)</f>
        <v>1</v>
      </c>
      <c r="S176" s="1019"/>
      <c r="T176" s="1019"/>
      <c r="U176" s="855"/>
      <c r="V176" s="318"/>
      <c r="W176" s="318"/>
      <c r="X176" s="318"/>
      <c r="Y176" s="318"/>
      <c r="Z176" s="318"/>
    </row>
    <row r="177" spans="2:26" ht="15" customHeight="1" x14ac:dyDescent="0.25">
      <c r="B177" s="17"/>
      <c r="C177" s="1049"/>
      <c r="D177" s="17"/>
      <c r="E177" s="17"/>
      <c r="F177" s="17"/>
      <c r="G177" s="17"/>
      <c r="H177" s="17"/>
      <c r="I177" s="17"/>
      <c r="J177" s="17"/>
      <c r="K177" s="17"/>
      <c r="L177" s="17"/>
      <c r="M177" s="17"/>
      <c r="N177" s="17"/>
      <c r="O177" s="17"/>
      <c r="P177" s="61"/>
      <c r="Q177" s="17"/>
      <c r="R177" s="1025">
        <f ca="1">IF(COUNTIF($R$126:$R176,1)&lt;$S$146,1,0)</f>
        <v>1</v>
      </c>
      <c r="S177" s="1019"/>
      <c r="T177" s="1019"/>
      <c r="U177" s="855"/>
      <c r="V177" s="318"/>
      <c r="W177" s="318"/>
      <c r="X177" s="318"/>
      <c r="Y177" s="318"/>
      <c r="Z177" s="318"/>
    </row>
    <row r="178" spans="2:26" ht="15" hidden="1" customHeight="1" x14ac:dyDescent="0.25">
      <c r="B178" s="17"/>
      <c r="C178" s="1049"/>
      <c r="D178" s="17"/>
      <c r="E178" s="17"/>
      <c r="F178" s="17"/>
      <c r="G178" s="17"/>
      <c r="H178" s="17"/>
      <c r="I178" s="17"/>
      <c r="J178" s="17"/>
      <c r="K178" s="17"/>
      <c r="L178" s="17"/>
      <c r="M178" s="17"/>
      <c r="N178" s="17"/>
      <c r="O178" s="17"/>
      <c r="P178" s="61"/>
      <c r="Q178" s="17"/>
      <c r="R178" s="1025">
        <f ca="1">IF(COUNTIF($R$126:$R177,1)&lt;$S$146,1,0)</f>
        <v>0</v>
      </c>
      <c r="S178" s="1019"/>
      <c r="T178" s="1019"/>
      <c r="U178" s="855"/>
      <c r="V178" s="318"/>
      <c r="W178" s="318"/>
      <c r="X178" s="318"/>
      <c r="Y178" s="318"/>
      <c r="Z178" s="318"/>
    </row>
    <row r="179" spans="2:26" ht="15" hidden="1" customHeight="1" x14ac:dyDescent="0.25">
      <c r="B179" s="17"/>
      <c r="C179" s="1049"/>
      <c r="D179" s="17"/>
      <c r="E179" s="17"/>
      <c r="F179" s="17"/>
      <c r="G179" s="17"/>
      <c r="H179" s="17"/>
      <c r="I179" s="17"/>
      <c r="J179" s="17"/>
      <c r="K179" s="17"/>
      <c r="L179" s="17"/>
      <c r="M179" s="17"/>
      <c r="N179" s="17"/>
      <c r="O179" s="17"/>
      <c r="P179" s="61"/>
      <c r="Q179" s="17"/>
      <c r="R179" s="1025">
        <f ca="1">IF(COUNTIF($R$126:$R178,1)&lt;$S$146,1,0)</f>
        <v>0</v>
      </c>
      <c r="S179" s="1019"/>
      <c r="T179" s="1019"/>
      <c r="U179" s="855"/>
      <c r="V179" s="318"/>
      <c r="W179" s="318"/>
      <c r="X179" s="318"/>
      <c r="Y179" s="318"/>
      <c r="Z179" s="318"/>
    </row>
    <row r="180" spans="2:26" ht="15" hidden="1" customHeight="1" x14ac:dyDescent="0.25">
      <c r="B180" s="17"/>
      <c r="C180" s="1049"/>
      <c r="D180" s="17"/>
      <c r="E180" s="17"/>
      <c r="F180" s="17"/>
      <c r="G180" s="17"/>
      <c r="H180" s="17"/>
      <c r="I180" s="17"/>
      <c r="J180" s="17"/>
      <c r="K180" s="17"/>
      <c r="L180" s="17"/>
      <c r="M180" s="17"/>
      <c r="N180" s="17"/>
      <c r="O180" s="17"/>
      <c r="P180" s="61"/>
      <c r="Q180" s="17"/>
      <c r="R180" s="1025">
        <f ca="1">IF(COUNTIF($R$126:$R179,1)&lt;$S$146,1,0)</f>
        <v>0</v>
      </c>
      <c r="S180" s="1019"/>
      <c r="T180" s="1019"/>
      <c r="U180" s="855"/>
      <c r="V180" s="318"/>
      <c r="W180" s="318"/>
      <c r="X180" s="318"/>
      <c r="Y180" s="318"/>
      <c r="Z180" s="318"/>
    </row>
    <row r="181" spans="2:26" ht="15" hidden="1" customHeight="1" x14ac:dyDescent="0.25">
      <c r="B181" s="17"/>
      <c r="C181" s="1049"/>
      <c r="D181" s="17"/>
      <c r="E181" s="17"/>
      <c r="F181" s="17"/>
      <c r="G181" s="17"/>
      <c r="H181" s="17"/>
      <c r="I181" s="17"/>
      <c r="J181" s="17"/>
      <c r="K181" s="17"/>
      <c r="L181" s="17"/>
      <c r="M181" s="17"/>
      <c r="N181" s="17"/>
      <c r="O181" s="17"/>
      <c r="P181" s="61"/>
      <c r="Q181" s="17"/>
      <c r="R181" s="1025">
        <f ca="1">IF(COUNTIF($R$126:$R180,1)&lt;$S$146,1,0)</f>
        <v>0</v>
      </c>
      <c r="S181" s="1019"/>
      <c r="T181" s="1019"/>
      <c r="U181" s="855"/>
      <c r="V181" s="318"/>
      <c r="W181" s="318"/>
      <c r="X181" s="318"/>
      <c r="Y181" s="318"/>
      <c r="Z181" s="318"/>
    </row>
    <row r="182" spans="2:26" ht="15" hidden="1" customHeight="1" x14ac:dyDescent="0.25">
      <c r="B182" s="17"/>
      <c r="C182" s="1049"/>
      <c r="D182" s="17"/>
      <c r="E182" s="17"/>
      <c r="F182" s="17"/>
      <c r="G182" s="17"/>
      <c r="H182" s="17"/>
      <c r="I182" s="17"/>
      <c r="J182" s="17"/>
      <c r="K182" s="17"/>
      <c r="L182" s="17"/>
      <c r="M182" s="17"/>
      <c r="N182" s="17"/>
      <c r="O182" s="17"/>
      <c r="P182" s="61"/>
      <c r="Q182" s="17"/>
      <c r="R182" s="1025">
        <f ca="1">IF(COUNTIF($R$126:$R181,1)&lt;$S$146,1,0)</f>
        <v>0</v>
      </c>
      <c r="S182" s="1019"/>
      <c r="T182" s="1019"/>
      <c r="U182" s="855"/>
      <c r="V182" s="318"/>
      <c r="W182" s="318"/>
      <c r="X182" s="318"/>
      <c r="Y182" s="318"/>
      <c r="Z182" s="318"/>
    </row>
    <row r="183" spans="2:26" ht="15" hidden="1" customHeight="1" x14ac:dyDescent="0.25">
      <c r="B183" s="17"/>
      <c r="C183" s="1049"/>
      <c r="D183" s="17"/>
      <c r="E183" s="17"/>
      <c r="F183" s="17"/>
      <c r="G183" s="17"/>
      <c r="H183" s="17"/>
      <c r="I183" s="17"/>
      <c r="J183" s="17"/>
      <c r="K183" s="17"/>
      <c r="L183" s="17"/>
      <c r="M183" s="17"/>
      <c r="N183" s="17"/>
      <c r="O183" s="17"/>
      <c r="P183" s="61"/>
      <c r="Q183" s="17"/>
      <c r="R183" s="1025">
        <f ca="1">IF(COUNTIF($R$126:$R182,1)&lt;$S$146,1,0)</f>
        <v>0</v>
      </c>
      <c r="S183" s="1019"/>
      <c r="T183" s="1019"/>
      <c r="U183" s="855"/>
      <c r="V183" s="318"/>
      <c r="W183" s="318"/>
      <c r="X183" s="318"/>
      <c r="Y183" s="318"/>
      <c r="Z183" s="318"/>
    </row>
    <row r="184" spans="2:26" ht="15" hidden="1" customHeight="1" x14ac:dyDescent="0.25">
      <c r="B184" s="17"/>
      <c r="C184" s="1049"/>
      <c r="D184" s="17"/>
      <c r="E184" s="17"/>
      <c r="F184" s="17"/>
      <c r="G184" s="17"/>
      <c r="H184" s="17"/>
      <c r="I184" s="17"/>
      <c r="J184" s="17"/>
      <c r="K184" s="17"/>
      <c r="L184" s="17"/>
      <c r="M184" s="17"/>
      <c r="N184" s="17"/>
      <c r="O184" s="17"/>
      <c r="P184" s="61"/>
      <c r="Q184" s="17"/>
      <c r="R184" s="1025">
        <f ca="1">IF(COUNTIF($R$126:$R183,1)&lt;$S$146,1,0)</f>
        <v>0</v>
      </c>
      <c r="S184" s="1019"/>
      <c r="T184" s="1019"/>
      <c r="U184" s="855"/>
      <c r="V184" s="318"/>
      <c r="W184" s="318"/>
      <c r="X184" s="318"/>
      <c r="Y184" s="318"/>
      <c r="Z184" s="318"/>
    </row>
    <row r="185" spans="2:26" ht="15" hidden="1" customHeight="1" x14ac:dyDescent="0.25">
      <c r="B185" s="17"/>
      <c r="C185" s="1049"/>
      <c r="D185" s="17"/>
      <c r="E185" s="17"/>
      <c r="F185" s="17"/>
      <c r="G185" s="17"/>
      <c r="H185" s="17"/>
      <c r="I185" s="17"/>
      <c r="J185" s="17"/>
      <c r="K185" s="17"/>
      <c r="L185" s="17"/>
      <c r="M185" s="17"/>
      <c r="N185" s="17"/>
      <c r="O185" s="17"/>
      <c r="P185" s="61"/>
      <c r="Q185" s="17"/>
      <c r="R185" s="1025">
        <f ca="1">IF(COUNTIF($R$126:$R184,1)&lt;$S$146,1,0)</f>
        <v>0</v>
      </c>
      <c r="S185" s="1019"/>
      <c r="T185" s="1019"/>
      <c r="U185" s="855"/>
      <c r="V185" s="318"/>
      <c r="W185" s="318"/>
      <c r="X185" s="318"/>
      <c r="Y185" s="318"/>
      <c r="Z185" s="318"/>
    </row>
    <row r="186" spans="2:26" ht="15" hidden="1" customHeight="1" x14ac:dyDescent="0.25">
      <c r="B186" s="17"/>
      <c r="C186" s="1049"/>
      <c r="D186" s="17"/>
      <c r="E186" s="17"/>
      <c r="F186" s="17"/>
      <c r="G186" s="17"/>
      <c r="H186" s="17"/>
      <c r="I186" s="17"/>
      <c r="J186" s="17"/>
      <c r="K186" s="17"/>
      <c r="L186" s="17"/>
      <c r="M186" s="17"/>
      <c r="N186" s="17"/>
      <c r="O186" s="17"/>
      <c r="P186" s="61"/>
      <c r="Q186" s="17"/>
      <c r="R186" s="1025">
        <f ca="1">IF(COUNTIF($R$126:$R185,1)&lt;$S$146,1,0)</f>
        <v>0</v>
      </c>
      <c r="S186" s="1019"/>
      <c r="T186" s="1019"/>
      <c r="U186" s="855"/>
      <c r="V186" s="318"/>
      <c r="W186" s="318"/>
      <c r="X186" s="318"/>
      <c r="Y186" s="318"/>
      <c r="Z186" s="318"/>
    </row>
    <row r="187" spans="2:26" ht="15" hidden="1" customHeight="1" x14ac:dyDescent="0.25">
      <c r="B187" s="17"/>
      <c r="C187" s="1049"/>
      <c r="D187" s="17"/>
      <c r="E187" s="17"/>
      <c r="F187" s="17"/>
      <c r="G187" s="17"/>
      <c r="H187" s="17"/>
      <c r="I187" s="17"/>
      <c r="J187" s="17"/>
      <c r="K187" s="17"/>
      <c r="L187" s="17"/>
      <c r="M187" s="17"/>
      <c r="N187" s="17"/>
      <c r="O187" s="17"/>
      <c r="P187" s="61"/>
      <c r="Q187" s="17"/>
      <c r="R187" s="1025">
        <f ca="1">IF(COUNTIF($R$126:$R186,1)&lt;$S$146,1,0)</f>
        <v>0</v>
      </c>
      <c r="S187" s="1019"/>
      <c r="T187" s="1019"/>
      <c r="U187" s="855"/>
      <c r="V187" s="318"/>
      <c r="W187" s="318"/>
      <c r="X187" s="318"/>
      <c r="Y187" s="318"/>
      <c r="Z187" s="318"/>
    </row>
    <row r="188" spans="2:26" ht="15" customHeight="1" x14ac:dyDescent="0.25">
      <c r="B188" s="17"/>
      <c r="C188" s="1050"/>
      <c r="D188" s="108"/>
      <c r="E188" s="108"/>
      <c r="F188" s="108"/>
      <c r="G188" s="108"/>
      <c r="H188" s="108"/>
      <c r="I188" s="108"/>
      <c r="J188" s="108"/>
      <c r="K188" s="108"/>
      <c r="L188" s="108"/>
      <c r="M188" s="108"/>
      <c r="N188" s="108"/>
      <c r="O188" s="108"/>
      <c r="P188" s="1052"/>
      <c r="Q188" s="17"/>
      <c r="R188" s="1026">
        <v>1</v>
      </c>
      <c r="S188" s="306"/>
      <c r="T188" s="306"/>
      <c r="U188" s="1420"/>
      <c r="V188" s="1021"/>
      <c r="W188" s="1021"/>
      <c r="X188" s="1021"/>
      <c r="Y188" s="1021"/>
      <c r="Z188" s="1021"/>
    </row>
    <row r="189" spans="2:26" x14ac:dyDescent="0.25">
      <c r="B189" s="17"/>
      <c r="C189" s="12"/>
      <c r="D189" s="12"/>
      <c r="E189" s="12"/>
      <c r="F189" s="12"/>
      <c r="G189" s="12"/>
      <c r="H189" s="12"/>
      <c r="I189" s="12"/>
      <c r="J189" s="12"/>
      <c r="K189" s="12"/>
      <c r="L189" s="12"/>
      <c r="M189" s="12"/>
      <c r="N189" s="12"/>
      <c r="O189" s="12"/>
      <c r="P189" s="12"/>
      <c r="Q189" s="17"/>
      <c r="R189" s="1026">
        <v>1</v>
      </c>
      <c r="S189" s="306"/>
      <c r="T189" s="306"/>
      <c r="U189" s="1420"/>
      <c r="V189" s="1021"/>
      <c r="W189" s="1021"/>
      <c r="X189" s="1021"/>
      <c r="Y189" s="1021"/>
      <c r="Z189" s="1021"/>
    </row>
    <row r="190" spans="2:26" ht="15" customHeight="1" x14ac:dyDescent="0.25">
      <c r="B190" s="17"/>
      <c r="C190" s="1075"/>
      <c r="D190" s="1093" t="str">
        <f>IF(Reglement!D71="","",Reglement!D71)</f>
        <v>www.excel-pool.nl</v>
      </c>
      <c r="E190" s="1093"/>
      <c r="F190" s="1093"/>
      <c r="G190" s="1093"/>
      <c r="H190" s="1093"/>
      <c r="I190" s="1093"/>
      <c r="J190" s="1093"/>
      <c r="K190" s="1093"/>
      <c r="L190" s="1093"/>
      <c r="M190" s="1093"/>
      <c r="N190" s="1093"/>
      <c r="O190" s="1094" t="str">
        <f>IF(Reglement!M71="","",Reglement!M71)</f>
        <v>©2024 Eric de Jong v24.00hd</v>
      </c>
      <c r="P190" s="1079"/>
      <c r="Q190" s="17"/>
      <c r="R190" s="1026">
        <v>1</v>
      </c>
      <c r="S190" s="306"/>
      <c r="T190" s="306"/>
      <c r="U190" s="49"/>
      <c r="V190" s="318"/>
      <c r="W190" s="318"/>
      <c r="Y190" s="318"/>
      <c r="Z190" s="318"/>
    </row>
    <row r="191" spans="2:26" ht="15" customHeight="1" x14ac:dyDescent="0.25">
      <c r="B191" s="17"/>
      <c r="C191" s="16"/>
      <c r="D191" s="16"/>
      <c r="E191" s="16"/>
      <c r="F191" s="16"/>
      <c r="G191" s="16"/>
      <c r="H191" s="16"/>
      <c r="I191" s="16"/>
      <c r="J191" s="16"/>
      <c r="K191" s="16"/>
      <c r="L191" s="16"/>
      <c r="M191" s="16"/>
      <c r="N191" s="16"/>
      <c r="O191" s="16"/>
      <c r="P191" s="16"/>
      <c r="Q191" s="17"/>
      <c r="R191" s="1025"/>
      <c r="S191" s="306"/>
      <c r="T191" s="306"/>
      <c r="U191" s="49"/>
      <c r="V191" s="318"/>
      <c r="W191" s="318"/>
      <c r="Y191" s="318"/>
      <c r="Z191" s="318"/>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428" t="str">
        <f>"01"</f>
        <v>01</v>
      </c>
      <c r="C201" s="1428"/>
      <c r="D201" s="10" t="s">
        <v>67</v>
      </c>
      <c r="E201" s="975"/>
      <c r="F201" s="10" t="s">
        <v>16</v>
      </c>
      <c r="G201" s="975"/>
      <c r="H201" s="10" t="s">
        <v>330</v>
      </c>
      <c r="I201" s="777" t="s">
        <v>2093</v>
      </c>
      <c r="J201" s="976">
        <v>0</v>
      </c>
      <c r="K201" s="69" t="s">
        <v>2094</v>
      </c>
      <c r="L201" s="10" t="str">
        <f>IF(J201=1,RIGHT("000"&amp;ROW(),3),"999")</f>
        <v>999</v>
      </c>
      <c r="M201" s="10">
        <f>BIN2DEC(10000000)*100000</f>
        <v>12800000</v>
      </c>
      <c r="O201" s="1016">
        <f ca="1">T19</f>
        <v>0</v>
      </c>
      <c r="P201" s="32"/>
      <c r="Q201" s="32"/>
      <c r="R201" s="1028"/>
      <c r="S201" s="32"/>
      <c r="T201" s="32"/>
    </row>
    <row r="202" spans="2:20" ht="15" hidden="1" customHeight="1" x14ac:dyDescent="0.25">
      <c r="B202" s="1428" t="str">
        <f>RIGHT("00"&amp;B201*1+1,2)</f>
        <v>02</v>
      </c>
      <c r="C202" s="1428"/>
      <c r="D202" s="10" t="s">
        <v>67</v>
      </c>
      <c r="E202" s="975"/>
      <c r="F202" s="10" t="s">
        <v>16</v>
      </c>
      <c r="G202" s="975"/>
      <c r="H202" s="10" t="s">
        <v>330</v>
      </c>
      <c r="I202" s="777" t="s">
        <v>2093</v>
      </c>
      <c r="J202" s="976">
        <v>0</v>
      </c>
      <c r="K202" s="69" t="s">
        <v>2094</v>
      </c>
      <c r="L202" s="10" t="str">
        <f t="shared" ref="L202:L220" si="0">IF(J202=1,RIGHT("000"&amp;ROW(),3),"999")</f>
        <v>999</v>
      </c>
      <c r="M202" s="10">
        <f>BIN2DEC(1000000)*100000</f>
        <v>6400000</v>
      </c>
      <c r="O202" s="1016">
        <f ca="1">T24</f>
        <v>0</v>
      </c>
      <c r="P202" s="32"/>
      <c r="Q202" s="1017" t="s">
        <v>2101</v>
      </c>
      <c r="R202" s="1028"/>
      <c r="S202" s="32"/>
      <c r="T202" s="32"/>
    </row>
    <row r="203" spans="2:20" hidden="1" x14ac:dyDescent="0.25">
      <c r="B203" s="1428" t="str">
        <f t="shared" ref="B203:B220" si="1">RIGHT("00"&amp;B202*1+1,2)</f>
        <v>03</v>
      </c>
      <c r="C203" s="1428"/>
      <c r="D203" s="10" t="s">
        <v>67</v>
      </c>
      <c r="E203" s="975"/>
      <c r="F203" s="10" t="s">
        <v>16</v>
      </c>
      <c r="G203" s="975"/>
      <c r="H203" s="10" t="s">
        <v>330</v>
      </c>
      <c r="I203" s="777" t="s">
        <v>2093</v>
      </c>
      <c r="J203" s="976">
        <v>0</v>
      </c>
      <c r="K203" s="69" t="s">
        <v>2094</v>
      </c>
      <c r="L203" s="10" t="str">
        <f t="shared" si="0"/>
        <v>999</v>
      </c>
      <c r="M203" s="10">
        <f>BIN2DEC(100000)*100000</f>
        <v>3200000</v>
      </c>
      <c r="O203" s="1016">
        <f ca="1">T29</f>
        <v>0</v>
      </c>
      <c r="P203" s="32"/>
      <c r="Q203" s="1429" t="str">
        <f>IF(T3=1,COUNTIF(O201:O220,"&gt;0"),"-")</f>
        <v>-</v>
      </c>
      <c r="R203" s="1429"/>
      <c r="S203" s="1429"/>
      <c r="T203" s="32"/>
    </row>
    <row r="204" spans="2:20" hidden="1" x14ac:dyDescent="0.25">
      <c r="B204" s="1428" t="str">
        <f t="shared" si="1"/>
        <v>04</v>
      </c>
      <c r="C204" s="1428"/>
      <c r="D204" s="10" t="s">
        <v>67</v>
      </c>
      <c r="E204" s="975"/>
      <c r="F204" s="10" t="s">
        <v>16</v>
      </c>
      <c r="G204" s="975"/>
      <c r="H204" s="10" t="s">
        <v>330</v>
      </c>
      <c r="I204" s="777" t="s">
        <v>2093</v>
      </c>
      <c r="J204" s="976">
        <v>0</v>
      </c>
      <c r="K204" s="69" t="s">
        <v>2094</v>
      </c>
      <c r="L204" s="10" t="str">
        <f t="shared" si="0"/>
        <v>999</v>
      </c>
      <c r="M204" s="10">
        <f>BIN2DEC(10000)*100000</f>
        <v>1600000</v>
      </c>
      <c r="O204" s="1016">
        <f ca="1">T34</f>
        <v>0</v>
      </c>
      <c r="P204" s="32"/>
      <c r="Q204" s="32"/>
      <c r="R204" s="1028"/>
      <c r="S204" s="32"/>
      <c r="T204" s="32"/>
    </row>
    <row r="205" spans="2:20" hidden="1" x14ac:dyDescent="0.25">
      <c r="B205" s="1428" t="str">
        <f t="shared" si="1"/>
        <v>05</v>
      </c>
      <c r="C205" s="1428"/>
      <c r="D205" s="10" t="s">
        <v>67</v>
      </c>
      <c r="E205" s="975"/>
      <c r="F205" s="10" t="s">
        <v>16</v>
      </c>
      <c r="G205" s="975"/>
      <c r="H205" s="10" t="s">
        <v>330</v>
      </c>
      <c r="I205" s="777" t="s">
        <v>2093</v>
      </c>
      <c r="J205" s="976">
        <v>0</v>
      </c>
      <c r="K205" s="69" t="s">
        <v>2094</v>
      </c>
      <c r="L205" s="10" t="str">
        <f t="shared" si="0"/>
        <v>999</v>
      </c>
      <c r="M205" s="10">
        <f>BIN2DEC(1000)*100000</f>
        <v>800000</v>
      </c>
      <c r="O205" s="1016">
        <f ca="1">T39</f>
        <v>0</v>
      </c>
      <c r="P205" s="32"/>
      <c r="Q205" s="1017" t="s">
        <v>2102</v>
      </c>
      <c r="R205" s="1028"/>
      <c r="S205" s="32"/>
      <c r="T205" s="32"/>
    </row>
    <row r="206" spans="2:20" hidden="1" x14ac:dyDescent="0.25">
      <c r="B206" s="1428" t="str">
        <f t="shared" si="1"/>
        <v>06</v>
      </c>
      <c r="C206" s="1428"/>
      <c r="D206" s="10" t="s">
        <v>67</v>
      </c>
      <c r="E206" s="975"/>
      <c r="F206" s="10" t="s">
        <v>16</v>
      </c>
      <c r="G206" s="975"/>
      <c r="H206" s="10" t="s">
        <v>330</v>
      </c>
      <c r="I206" s="777" t="s">
        <v>2093</v>
      </c>
      <c r="J206" s="976">
        <v>0</v>
      </c>
      <c r="K206" s="69" t="s">
        <v>2094</v>
      </c>
      <c r="L206" s="10" t="str">
        <f t="shared" si="0"/>
        <v>999</v>
      </c>
      <c r="M206" s="10">
        <f>BIN2DEC(100)*100000</f>
        <v>400000</v>
      </c>
      <c r="O206" s="1016">
        <f ca="1">T44</f>
        <v>0</v>
      </c>
      <c r="P206" s="32"/>
      <c r="Q206" s="1429" t="str">
        <f>IF(T3=1,T5,"-")</f>
        <v>-</v>
      </c>
      <c r="R206" s="1429"/>
      <c r="S206" s="1429"/>
      <c r="T206" s="32"/>
    </row>
    <row r="207" spans="2:20" ht="15" hidden="1" customHeight="1" x14ac:dyDescent="0.25">
      <c r="B207" s="1428" t="str">
        <f t="shared" si="1"/>
        <v>07</v>
      </c>
      <c r="C207" s="1428"/>
      <c r="D207" s="10" t="s">
        <v>67</v>
      </c>
      <c r="E207" s="975"/>
      <c r="F207" s="10" t="s">
        <v>16</v>
      </c>
      <c r="G207" s="975"/>
      <c r="H207" s="10" t="s">
        <v>330</v>
      </c>
      <c r="I207" s="777" t="s">
        <v>2093</v>
      </c>
      <c r="J207" s="976">
        <v>0</v>
      </c>
      <c r="K207" s="69" t="s">
        <v>2094</v>
      </c>
      <c r="L207" s="10" t="str">
        <f t="shared" si="0"/>
        <v>999</v>
      </c>
      <c r="M207" s="10">
        <f>BIN2DEC(10)*100000</f>
        <v>200000</v>
      </c>
      <c r="O207" s="1016">
        <f ca="1">T49</f>
        <v>0</v>
      </c>
      <c r="P207" s="32"/>
      <c r="Q207" s="32"/>
      <c r="R207" s="1028"/>
      <c r="S207" s="32"/>
      <c r="T207" s="32"/>
    </row>
    <row r="208" spans="2:20" ht="15" hidden="1" customHeight="1" x14ac:dyDescent="0.25">
      <c r="B208" s="1428" t="str">
        <f t="shared" si="1"/>
        <v>08</v>
      </c>
      <c r="C208" s="1428"/>
      <c r="D208" s="10" t="s">
        <v>67</v>
      </c>
      <c r="E208" s="975"/>
      <c r="F208" s="10" t="s">
        <v>16</v>
      </c>
      <c r="G208" s="975"/>
      <c r="H208" s="10" t="s">
        <v>330</v>
      </c>
      <c r="I208" s="777" t="s">
        <v>2093</v>
      </c>
      <c r="J208" s="976">
        <v>0</v>
      </c>
      <c r="K208" s="69" t="s">
        <v>2094</v>
      </c>
      <c r="L208" s="10" t="str">
        <f t="shared" si="0"/>
        <v>999</v>
      </c>
      <c r="M208" s="10">
        <f>BIN2DEC(1)*100000</f>
        <v>100000</v>
      </c>
      <c r="O208" s="1016">
        <f ca="1">T54</f>
        <v>0</v>
      </c>
      <c r="P208" s="32"/>
      <c r="Q208" s="1017" t="s">
        <v>2103</v>
      </c>
      <c r="R208" s="1028"/>
      <c r="S208" s="32"/>
      <c r="T208" s="32"/>
    </row>
    <row r="209" spans="2:20" ht="15" hidden="1" customHeight="1" x14ac:dyDescent="0.25">
      <c r="B209" s="1428" t="str">
        <f t="shared" si="1"/>
        <v>09</v>
      </c>
      <c r="C209" s="1428"/>
      <c r="D209" s="10" t="s">
        <v>67</v>
      </c>
      <c r="E209" s="975"/>
      <c r="F209" s="10" t="s">
        <v>16</v>
      </c>
      <c r="G209" s="975"/>
      <c r="H209" s="10" t="s">
        <v>330</v>
      </c>
      <c r="I209" s="777" t="s">
        <v>2093</v>
      </c>
      <c r="J209" s="976">
        <v>0</v>
      </c>
      <c r="K209" s="69" t="s">
        <v>2094</v>
      </c>
      <c r="L209" s="10" t="str">
        <f t="shared" si="0"/>
        <v>999</v>
      </c>
      <c r="M209" s="10">
        <f>BIN2DEC(10000000)*100</f>
        <v>12800</v>
      </c>
      <c r="O209" s="1016">
        <f ca="1">T59</f>
        <v>0</v>
      </c>
      <c r="P209" s="32"/>
      <c r="Q209" s="1429" t="str">
        <f>IF(T3=1,IF(T6=0,99,T6),"-")</f>
        <v>-</v>
      </c>
      <c r="R209" s="1429"/>
      <c r="S209" s="1429"/>
      <c r="T209" s="32"/>
    </row>
    <row r="210" spans="2:20" hidden="1" x14ac:dyDescent="0.25">
      <c r="B210" s="1428" t="str">
        <f t="shared" si="1"/>
        <v>10</v>
      </c>
      <c r="C210" s="1428"/>
      <c r="D210" s="10" t="s">
        <v>67</v>
      </c>
      <c r="E210" s="975"/>
      <c r="F210" s="10" t="s">
        <v>16</v>
      </c>
      <c r="G210" s="975"/>
      <c r="H210" s="10" t="s">
        <v>330</v>
      </c>
      <c r="I210" s="777" t="s">
        <v>2093</v>
      </c>
      <c r="J210" s="976">
        <v>0</v>
      </c>
      <c r="K210" s="69" t="s">
        <v>2094</v>
      </c>
      <c r="L210" s="10" t="str">
        <f t="shared" si="0"/>
        <v>999</v>
      </c>
      <c r="M210" s="10">
        <f>BIN2DEC(1000000)*100</f>
        <v>6400</v>
      </c>
      <c r="O210" s="1016">
        <f ca="1">T64</f>
        <v>0</v>
      </c>
      <c r="P210" s="32"/>
      <c r="Q210" s="32"/>
      <c r="R210" s="1028"/>
      <c r="S210" s="32"/>
      <c r="T210" s="32"/>
    </row>
    <row r="211" spans="2:20" hidden="1" x14ac:dyDescent="0.25">
      <c r="B211" s="1428" t="str">
        <f t="shared" si="1"/>
        <v>11</v>
      </c>
      <c r="C211" s="1428"/>
      <c r="D211" s="10" t="s">
        <v>67</v>
      </c>
      <c r="E211" s="975"/>
      <c r="F211" s="10" t="s">
        <v>16</v>
      </c>
      <c r="G211" s="975"/>
      <c r="H211" s="10" t="s">
        <v>330</v>
      </c>
      <c r="I211" s="777" t="s">
        <v>2093</v>
      </c>
      <c r="J211" s="976">
        <v>0</v>
      </c>
      <c r="K211" s="69" t="s">
        <v>2094</v>
      </c>
      <c r="L211" s="10" t="str">
        <f t="shared" si="0"/>
        <v>999</v>
      </c>
      <c r="M211" s="10">
        <f>BIN2DEC(100000)*100</f>
        <v>3200</v>
      </c>
      <c r="O211" s="1016">
        <f ca="1">T70</f>
        <v>0</v>
      </c>
      <c r="P211" s="32"/>
      <c r="Q211" s="1017" t="s">
        <v>2111</v>
      </c>
      <c r="R211" s="1028"/>
      <c r="S211" s="32"/>
      <c r="T211" s="32"/>
    </row>
    <row r="212" spans="2:20" hidden="1" x14ac:dyDescent="0.25">
      <c r="B212" s="1428" t="str">
        <f t="shared" si="1"/>
        <v>12</v>
      </c>
      <c r="C212" s="1428"/>
      <c r="D212" s="10" t="s">
        <v>67</v>
      </c>
      <c r="E212" s="975"/>
      <c r="F212" s="10" t="s">
        <v>16</v>
      </c>
      <c r="G212" s="975"/>
      <c r="H212" s="10" t="s">
        <v>330</v>
      </c>
      <c r="I212" s="777" t="s">
        <v>2093</v>
      </c>
      <c r="J212" s="976">
        <v>0</v>
      </c>
      <c r="K212" s="69" t="s">
        <v>2094</v>
      </c>
      <c r="L212" s="10" t="str">
        <f t="shared" si="0"/>
        <v>999</v>
      </c>
      <c r="M212" s="10">
        <f>BIN2DEC(10000)*100</f>
        <v>1600</v>
      </c>
      <c r="O212" s="1016">
        <f ca="1">T76</f>
        <v>0</v>
      </c>
      <c r="P212" s="32"/>
      <c r="Q212" s="1429" t="str">
        <f>IF(T3=1,IF(AND(Q203&gt;=Q206,Q203&lt;=Q209),1,IF(Q203&gt;Q209,3,2)),"-")</f>
        <v>-</v>
      </c>
      <c r="R212" s="1429"/>
      <c r="S212" s="1429"/>
      <c r="T212" s="32"/>
    </row>
    <row r="213" spans="2:20" hidden="1" x14ac:dyDescent="0.25">
      <c r="B213" s="1428" t="str">
        <f t="shared" si="1"/>
        <v>13</v>
      </c>
      <c r="C213" s="1428"/>
      <c r="D213" s="10" t="s">
        <v>67</v>
      </c>
      <c r="E213" s="975"/>
      <c r="F213" s="10" t="s">
        <v>16</v>
      </c>
      <c r="G213" s="975"/>
      <c r="H213" s="10" t="s">
        <v>330</v>
      </c>
      <c r="I213" s="777" t="s">
        <v>2093</v>
      </c>
      <c r="J213" s="976">
        <v>0</v>
      </c>
      <c r="K213" s="69" t="s">
        <v>2094</v>
      </c>
      <c r="L213" s="10" t="str">
        <f t="shared" si="0"/>
        <v>999</v>
      </c>
      <c r="M213" s="10">
        <f>BIN2DEC(1000)*100</f>
        <v>800</v>
      </c>
      <c r="O213" s="1016">
        <f ca="1">T82</f>
        <v>0</v>
      </c>
      <c r="P213" s="32"/>
      <c r="Q213" s="32"/>
      <c r="R213" s="1028"/>
      <c r="S213" s="32"/>
      <c r="T213" s="32"/>
    </row>
    <row r="214" spans="2:20" hidden="1" x14ac:dyDescent="0.25">
      <c r="B214" s="1428" t="str">
        <f t="shared" si="1"/>
        <v>14</v>
      </c>
      <c r="C214" s="1428"/>
      <c r="D214" s="10" t="s">
        <v>67</v>
      </c>
      <c r="E214" s="975"/>
      <c r="F214" s="10" t="s">
        <v>16</v>
      </c>
      <c r="G214" s="975"/>
      <c r="H214" s="10" t="s">
        <v>330</v>
      </c>
      <c r="I214" s="777" t="s">
        <v>2093</v>
      </c>
      <c r="J214" s="976">
        <v>0</v>
      </c>
      <c r="K214" s="69" t="s">
        <v>2094</v>
      </c>
      <c r="L214" s="10" t="str">
        <f t="shared" si="0"/>
        <v>999</v>
      </c>
      <c r="M214" s="10">
        <f>BIN2DEC(100)*100</f>
        <v>400</v>
      </c>
      <c r="O214" s="1016">
        <f ca="1">T88</f>
        <v>0</v>
      </c>
      <c r="P214" s="32"/>
      <c r="Q214" s="1017" t="s">
        <v>2057</v>
      </c>
      <c r="R214" s="1028"/>
      <c r="S214" s="32"/>
      <c r="T214" s="32"/>
    </row>
    <row r="215" spans="2:20" hidden="1" x14ac:dyDescent="0.25">
      <c r="B215" s="1428" t="str">
        <f t="shared" si="1"/>
        <v>15</v>
      </c>
      <c r="C215" s="1428"/>
      <c r="D215" s="10" t="s">
        <v>67</v>
      </c>
      <c r="E215" s="975"/>
      <c r="F215" s="10" t="s">
        <v>16</v>
      </c>
      <c r="G215" s="975"/>
      <c r="H215" s="10" t="s">
        <v>330</v>
      </c>
      <c r="I215" s="777" t="s">
        <v>2093</v>
      </c>
      <c r="J215" s="976">
        <v>0</v>
      </c>
      <c r="K215" s="69" t="s">
        <v>2094</v>
      </c>
      <c r="L215" s="10" t="str">
        <f t="shared" si="0"/>
        <v>999</v>
      </c>
      <c r="M215" s="10">
        <f>BIN2DEC(10)*100</f>
        <v>200</v>
      </c>
      <c r="O215" s="1016">
        <f ca="1">T94</f>
        <v>0</v>
      </c>
      <c r="P215" s="32"/>
      <c r="Q215" s="1429" t="str">
        <f>IF(AND(T3=1,Q212=1),"&lt;"&amp;RIGHT("00000000"&amp;SUM(O201:O220),8)&amp;"&gt;","-")</f>
        <v>-</v>
      </c>
      <c r="R215" s="1429"/>
      <c r="S215" s="1429"/>
      <c r="T215" s="32"/>
    </row>
    <row r="216" spans="2:20" hidden="1" x14ac:dyDescent="0.25">
      <c r="B216" s="1428" t="str">
        <f t="shared" si="1"/>
        <v>16</v>
      </c>
      <c r="C216" s="1428"/>
      <c r="D216" s="10" t="s">
        <v>67</v>
      </c>
      <c r="E216" s="975"/>
      <c r="F216" s="10" t="s">
        <v>16</v>
      </c>
      <c r="G216" s="975"/>
      <c r="H216" s="10" t="s">
        <v>330</v>
      </c>
      <c r="I216" s="777" t="s">
        <v>2093</v>
      </c>
      <c r="J216" s="976">
        <v>0</v>
      </c>
      <c r="K216" s="69" t="s">
        <v>2094</v>
      </c>
      <c r="L216" s="10" t="str">
        <f t="shared" si="0"/>
        <v>999</v>
      </c>
      <c r="M216" s="10">
        <f>BIN2DEC(1)*100</f>
        <v>100</v>
      </c>
      <c r="O216" s="1016">
        <f ca="1">T100</f>
        <v>0</v>
      </c>
      <c r="P216" s="32"/>
      <c r="Q216" s="32"/>
      <c r="R216" s="1028"/>
      <c r="S216" s="32"/>
      <c r="T216" s="32"/>
    </row>
    <row r="217" spans="2:20" hidden="1" x14ac:dyDescent="0.25">
      <c r="B217" s="1428" t="str">
        <f t="shared" si="1"/>
        <v>17</v>
      </c>
      <c r="C217" s="1428"/>
      <c r="D217" s="10" t="s">
        <v>67</v>
      </c>
      <c r="E217" s="975"/>
      <c r="F217" s="10" t="s">
        <v>16</v>
      </c>
      <c r="G217" s="975"/>
      <c r="H217" s="10" t="s">
        <v>330</v>
      </c>
      <c r="I217" s="777" t="s">
        <v>2093</v>
      </c>
      <c r="J217" s="976">
        <v>0</v>
      </c>
      <c r="K217" s="69" t="s">
        <v>2094</v>
      </c>
      <c r="L217" s="10" t="str">
        <f t="shared" si="0"/>
        <v>999</v>
      </c>
      <c r="M217" s="10">
        <f>BIN2DEC(1000)*1</f>
        <v>8</v>
      </c>
      <c r="O217" s="1016">
        <f ca="1">T106</f>
        <v>0</v>
      </c>
      <c r="P217" s="32"/>
      <c r="Q217" s="32"/>
      <c r="R217" s="1028"/>
      <c r="S217" s="32"/>
      <c r="T217" s="32"/>
    </row>
    <row r="218" spans="2:20" hidden="1" x14ac:dyDescent="0.25">
      <c r="B218" s="1428" t="str">
        <f t="shared" si="1"/>
        <v>18</v>
      </c>
      <c r="C218" s="1428"/>
      <c r="D218" s="10" t="s">
        <v>67</v>
      </c>
      <c r="E218" s="975"/>
      <c r="F218" s="10" t="s">
        <v>16</v>
      </c>
      <c r="G218" s="975"/>
      <c r="H218" s="10" t="s">
        <v>330</v>
      </c>
      <c r="I218" s="777" t="s">
        <v>2093</v>
      </c>
      <c r="J218" s="976">
        <v>0</v>
      </c>
      <c r="K218" s="69" t="s">
        <v>2094</v>
      </c>
      <c r="L218" s="10" t="str">
        <f t="shared" si="0"/>
        <v>999</v>
      </c>
      <c r="M218" s="10">
        <f>BIN2DEC(100)*1</f>
        <v>4</v>
      </c>
      <c r="O218" s="1016">
        <f ca="1">T112</f>
        <v>0</v>
      </c>
      <c r="P218" s="32"/>
      <c r="Q218" s="32"/>
      <c r="R218" s="1028"/>
      <c r="S218" s="32"/>
      <c r="T218" s="32"/>
    </row>
    <row r="219" spans="2:20" hidden="1" x14ac:dyDescent="0.25">
      <c r="B219" s="1428" t="str">
        <f t="shared" si="1"/>
        <v>19</v>
      </c>
      <c r="C219" s="1428"/>
      <c r="D219" s="10" t="s">
        <v>67</v>
      </c>
      <c r="E219" s="975"/>
      <c r="F219" s="10" t="s">
        <v>16</v>
      </c>
      <c r="G219" s="975"/>
      <c r="H219" s="10" t="s">
        <v>330</v>
      </c>
      <c r="I219" s="777" t="s">
        <v>2093</v>
      </c>
      <c r="J219" s="976">
        <v>0</v>
      </c>
      <c r="K219" s="69" t="s">
        <v>2094</v>
      </c>
      <c r="L219" s="10" t="str">
        <f t="shared" si="0"/>
        <v>999</v>
      </c>
      <c r="M219" s="10">
        <f>BIN2DEC(10)*1</f>
        <v>2</v>
      </c>
      <c r="O219" s="1016">
        <f ca="1">T118</f>
        <v>0</v>
      </c>
      <c r="P219" s="32"/>
      <c r="Q219" s="32"/>
      <c r="R219" s="1028"/>
      <c r="S219" s="32"/>
      <c r="T219" s="32"/>
    </row>
    <row r="220" spans="2:20" hidden="1" x14ac:dyDescent="0.25">
      <c r="B220" s="1428" t="str">
        <f t="shared" si="1"/>
        <v>20</v>
      </c>
      <c r="C220" s="1428"/>
      <c r="D220" s="10" t="s">
        <v>67</v>
      </c>
      <c r="E220" s="975"/>
      <c r="F220" s="10" t="s">
        <v>16</v>
      </c>
      <c r="G220" s="975"/>
      <c r="H220" s="10" t="s">
        <v>330</v>
      </c>
      <c r="I220" s="777" t="s">
        <v>2093</v>
      </c>
      <c r="J220" s="976">
        <v>0</v>
      </c>
      <c r="K220" s="69" t="s">
        <v>2094</v>
      </c>
      <c r="L220" s="10" t="str">
        <f t="shared" si="0"/>
        <v>999</v>
      </c>
      <c r="M220" s="10">
        <f>BIN2DEC(1)*1</f>
        <v>1</v>
      </c>
      <c r="O220" s="1016">
        <f ca="1">T124</f>
        <v>0</v>
      </c>
      <c r="P220" s="32"/>
      <c r="Q220" s="32"/>
      <c r="R220" s="1028"/>
      <c r="S220" s="32"/>
      <c r="T220" s="32"/>
    </row>
    <row r="221" spans="2:20" x14ac:dyDescent="0.25">
      <c r="H221" s="44" t="s">
        <v>330</v>
      </c>
    </row>
    <row r="228" spans="22:22" x14ac:dyDescent="0.25">
      <c r="V228" s="461"/>
    </row>
    <row r="229" spans="22:22" x14ac:dyDescent="0.25">
      <c r="V229" s="461"/>
    </row>
    <row r="230" spans="22:22" x14ac:dyDescent="0.25">
      <c r="V230" s="461"/>
    </row>
  </sheetData>
  <sheetProtection algorithmName="SHA-512" hashValue="WixUJejqM0ISUJOH7yxcp4u1MpcbQea3PuykWgYf/kAvLhw0hyO0mhp+UG6PvXM5X3iZ7J0saxiMzEA97Z37tw==" saltValue="NXUnGX1nFJYJMHBMzRq8qg=="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01" customWidth="1"/>
    <col min="20" max="26" width="8.7109375" style="44" customWidth="1"/>
    <col min="27" max="16384" width="9.140625" style="44"/>
  </cols>
  <sheetData>
    <row r="1" spans="1:24" ht="15" customHeight="1" x14ac:dyDescent="0.25">
      <c r="A1" s="94" t="str">
        <f>Voorblad!A1</f>
        <v>A255255255</v>
      </c>
      <c r="B1" s="94" t="str">
        <f>Voorblad!B1</f>
        <v>B000080160</v>
      </c>
      <c r="C1" s="94" t="str">
        <f>Voorblad!C1</f>
        <v>C150200250</v>
      </c>
      <c r="D1" s="94" t="str">
        <f>Voorblad!D1</f>
        <v>D000080160</v>
      </c>
      <c r="E1" s="94" t="str">
        <f>Voorblad!E1</f>
        <v>E000080160</v>
      </c>
      <c r="S1" s="44"/>
    </row>
    <row r="2" spans="1:24" ht="15" customHeight="1" x14ac:dyDescent="0.25">
      <c r="B2" s="17"/>
      <c r="C2" s="1155"/>
      <c r="D2" s="1155"/>
      <c r="E2" s="1155"/>
      <c r="F2" s="1155"/>
      <c r="G2" s="1155"/>
      <c r="H2" s="1155"/>
      <c r="I2" s="1155"/>
      <c r="J2" s="1155"/>
      <c r="K2" s="1155"/>
      <c r="L2" s="1155"/>
      <c r="M2" s="1155"/>
      <c r="N2" s="1155"/>
      <c r="O2" s="1155"/>
      <c r="P2" s="1155"/>
      <c r="Q2" s="17"/>
      <c r="R2" s="73"/>
      <c r="T2" s="1144" t="str">
        <f ca="1">Taal01!$B$43</f>
        <v>Deelnamecode</v>
      </c>
      <c r="U2" s="1144"/>
      <c r="V2" s="1144"/>
      <c r="W2" s="1144"/>
      <c r="X2" s="1144"/>
    </row>
    <row r="3" spans="1:24" ht="15" customHeight="1" x14ac:dyDescent="0.25">
      <c r="B3" s="17"/>
      <c r="C3" s="1075"/>
      <c r="D3" s="1433" t="str">
        <f ca="1">Taal04!$B$159</f>
        <v>De Deelnamecode</v>
      </c>
      <c r="E3" s="1433"/>
      <c r="F3" s="1433"/>
      <c r="G3" s="1090"/>
      <c r="H3" s="1090"/>
      <c r="I3" s="1090"/>
      <c r="J3" s="1090"/>
      <c r="K3" s="1090"/>
      <c r="L3" s="1090"/>
      <c r="M3" s="1090"/>
      <c r="N3" s="1090"/>
      <c r="O3" s="1091" t="str">
        <f ca="1">IF(Reglement!M3="","",Reglement!M3)</f>
        <v>EURO 2024: EK Polo-poule</v>
      </c>
      <c r="P3" s="1079"/>
      <c r="Q3" s="17"/>
      <c r="R3" s="73"/>
      <c r="T3" s="1144"/>
      <c r="U3" s="1144"/>
      <c r="V3" s="1144"/>
      <c r="W3" s="1144"/>
      <c r="X3" s="1144"/>
    </row>
    <row r="4" spans="1:24" ht="15" customHeight="1" x14ac:dyDescent="0.25">
      <c r="B4" s="17"/>
      <c r="C4" s="12"/>
      <c r="D4" s="12"/>
      <c r="E4" s="12"/>
      <c r="F4" s="12"/>
      <c r="G4" s="12"/>
      <c r="H4" s="12"/>
      <c r="I4" s="12"/>
      <c r="J4" s="12"/>
      <c r="K4" s="12"/>
      <c r="L4" s="12"/>
      <c r="M4" s="12"/>
      <c r="N4" s="12"/>
      <c r="O4" s="12"/>
      <c r="P4" s="12"/>
      <c r="Q4" s="17"/>
      <c r="R4" s="73"/>
      <c r="T4" s="1144"/>
      <c r="U4" s="1144"/>
      <c r="V4" s="1144"/>
      <c r="W4" s="1144"/>
      <c r="X4" s="1144"/>
    </row>
    <row r="5" spans="1:24" ht="15" customHeight="1" x14ac:dyDescent="0.25">
      <c r="B5" s="17"/>
      <c r="C5" s="1075"/>
      <c r="D5" s="1090" t="str">
        <f ca="1">Taal04!$B$160</f>
        <v>Controle Onderdelen</v>
      </c>
      <c r="E5" s="1090"/>
      <c r="F5" s="1090"/>
      <c r="G5" s="1090"/>
      <c r="H5" s="1090"/>
      <c r="I5" s="1090"/>
      <c r="J5" s="1090"/>
      <c r="K5" s="1090"/>
      <c r="L5" s="1090"/>
      <c r="M5" s="1090"/>
      <c r="N5" s="1090"/>
      <c r="O5" s="1090"/>
      <c r="P5" s="1079"/>
      <c r="Q5" s="17"/>
      <c r="R5" s="73"/>
      <c r="S5" s="44"/>
    </row>
    <row r="6" spans="1:24" ht="15" customHeight="1" x14ac:dyDescent="0.25">
      <c r="B6" s="17"/>
      <c r="C6" s="1047"/>
      <c r="D6" s="1180"/>
      <c r="E6" s="1180"/>
      <c r="F6" s="1180"/>
      <c r="G6" s="1180"/>
      <c r="H6" s="1180"/>
      <c r="I6" s="1180"/>
      <c r="J6" s="1180"/>
      <c r="K6" s="1180"/>
      <c r="L6" s="1180"/>
      <c r="M6" s="1180"/>
      <c r="N6" s="1180"/>
      <c r="O6" s="1180"/>
      <c r="P6" s="1048"/>
      <c r="Q6" s="17"/>
      <c r="R6" s="73"/>
      <c r="S6" s="44"/>
    </row>
    <row r="7" spans="1:24" ht="15" customHeight="1" x14ac:dyDescent="0.25">
      <c r="B7" s="17"/>
      <c r="C7" s="1049"/>
      <c r="D7" s="1376" t="str">
        <f t="shared" ref="D7:D29" ca="1" si="0">VLOOKUP(R7,$B$63:$D$116,3)</f>
        <v>Gegevens Deelnemer:</v>
      </c>
      <c r="E7" s="1376"/>
      <c r="F7" s="1376"/>
      <c r="G7" s="1376"/>
      <c r="H7" s="1376"/>
      <c r="I7" s="1376"/>
      <c r="J7" s="1376"/>
      <c r="K7" s="1376"/>
      <c r="L7" s="1376"/>
      <c r="M7" s="1376"/>
      <c r="N7" s="1376"/>
      <c r="O7" s="1376"/>
      <c r="P7" s="1430"/>
      <c r="Q7" s="17"/>
      <c r="R7" s="320">
        <f t="shared" ref="R7:R33" ca="1" si="1">IF($P$123=27,MID($S$123,(ROW()-7)*3+1,3)/10,99.9)</f>
        <v>10</v>
      </c>
      <c r="S7" s="44"/>
    </row>
    <row r="8" spans="1:24" ht="15" customHeight="1" x14ac:dyDescent="0.25">
      <c r="B8" s="17"/>
      <c r="C8" s="1049"/>
      <c r="D8" s="1376" t="str">
        <f t="shared" ca="1" si="0"/>
        <v>Het generen van de naamcode incluslief e-mailadres is niet mogelijk in verband met het ontbreken van</v>
      </c>
      <c r="E8" s="1376"/>
      <c r="F8" s="1376"/>
      <c r="G8" s="1376"/>
      <c r="H8" s="1376"/>
      <c r="I8" s="1376"/>
      <c r="J8" s="1376"/>
      <c r="K8" s="1376"/>
      <c r="L8" s="1376"/>
      <c r="M8" s="1376"/>
      <c r="N8" s="1376"/>
      <c r="O8" s="1376"/>
      <c r="P8" s="1430"/>
      <c r="Q8" s="17"/>
      <c r="R8" s="320">
        <f t="shared" ca="1" si="1"/>
        <v>11.1</v>
      </c>
      <c r="S8" s="44"/>
    </row>
    <row r="9" spans="1:24" ht="15" customHeight="1" x14ac:dyDescent="0.25">
      <c r="B9" s="17"/>
      <c r="C9" s="1049"/>
      <c r="D9" s="1376" t="str">
        <f t="shared" ca="1" si="0"/>
        <v>gegevens. Voer uw naam en e-mailadres in bovenaan het werkblad "Groepswedstrijden".</v>
      </c>
      <c r="E9" s="1376"/>
      <c r="F9" s="1376"/>
      <c r="G9" s="1376"/>
      <c r="H9" s="1376"/>
      <c r="I9" s="1376"/>
      <c r="J9" s="1376"/>
      <c r="K9" s="1376"/>
      <c r="L9" s="1376"/>
      <c r="M9" s="1376"/>
      <c r="N9" s="1376"/>
      <c r="O9" s="1376"/>
      <c r="P9" s="1430"/>
      <c r="Q9" s="17"/>
      <c r="R9" s="320">
        <f t="shared" ca="1" si="1"/>
        <v>11.2</v>
      </c>
      <c r="S9" s="44"/>
    </row>
    <row r="10" spans="1:24" ht="15" customHeight="1" x14ac:dyDescent="0.25">
      <c r="B10" s="17"/>
      <c r="C10" s="1049"/>
      <c r="D10" s="1376" t="str">
        <f t="shared" ca="1" si="0"/>
        <v>LEGE REGEL</v>
      </c>
      <c r="E10" s="1376"/>
      <c r="F10" s="1376"/>
      <c r="G10" s="1376"/>
      <c r="H10" s="1376"/>
      <c r="I10" s="1376"/>
      <c r="J10" s="1376"/>
      <c r="K10" s="1376"/>
      <c r="L10" s="1376"/>
      <c r="M10" s="1376"/>
      <c r="N10" s="1376"/>
      <c r="O10" s="1376"/>
      <c r="P10" s="1430"/>
      <c r="Q10" s="17"/>
      <c r="R10" s="320">
        <f t="shared" ca="1" si="1"/>
        <v>99.9</v>
      </c>
      <c r="S10" s="44"/>
    </row>
    <row r="11" spans="1:24" ht="15" customHeight="1" x14ac:dyDescent="0.25">
      <c r="B11" s="17"/>
      <c r="C11" s="1049"/>
      <c r="D11" s="1376" t="str">
        <f t="shared" ca="1" si="0"/>
        <v>Voorspellingen Groepswedstrijden:</v>
      </c>
      <c r="E11" s="1376"/>
      <c r="F11" s="1376"/>
      <c r="G11" s="1376"/>
      <c r="H11" s="1376"/>
      <c r="I11" s="1376"/>
      <c r="J11" s="1376"/>
      <c r="K11" s="1376"/>
      <c r="L11" s="1376"/>
      <c r="M11" s="1376"/>
      <c r="N11" s="1376"/>
      <c r="O11" s="1376"/>
      <c r="P11" s="1430"/>
      <c r="Q11" s="17"/>
      <c r="R11" s="320">
        <f t="shared" ca="1" si="1"/>
        <v>20</v>
      </c>
      <c r="S11" s="44"/>
    </row>
    <row r="12" spans="1:24" ht="15" customHeight="1" x14ac:dyDescent="0.25">
      <c r="B12" s="17"/>
      <c r="C12" s="1049"/>
      <c r="D12" s="1376" t="str">
        <f t="shared" ca="1" si="0"/>
        <v>Het genereren van de deelnamecode voor de groepswedstrijden is niet mogelijk in verband met het ontbreken</v>
      </c>
      <c r="E12" s="1376"/>
      <c r="F12" s="1376"/>
      <c r="G12" s="1376"/>
      <c r="H12" s="1376"/>
      <c r="I12" s="1376"/>
      <c r="J12" s="1376"/>
      <c r="K12" s="1376"/>
      <c r="L12" s="1376"/>
      <c r="M12" s="1376"/>
      <c r="N12" s="1376"/>
      <c r="O12" s="1376"/>
      <c r="P12" s="1430"/>
      <c r="Q12" s="17"/>
      <c r="R12" s="320">
        <f t="shared" ca="1" si="1"/>
        <v>21.1</v>
      </c>
      <c r="S12" s="44"/>
    </row>
    <row r="13" spans="1:24" ht="15" customHeight="1" x14ac:dyDescent="0.25">
      <c r="B13" s="17"/>
      <c r="C13" s="1049"/>
      <c r="D13" s="1376" t="str">
        <f t="shared" ca="1" si="0"/>
        <v>van gegevens. Controleer of alle velden zijn ingevuld op het werkblad "Groepswedstrijden".</v>
      </c>
      <c r="E13" s="1376"/>
      <c r="F13" s="1376"/>
      <c r="G13" s="1376"/>
      <c r="H13" s="1376"/>
      <c r="I13" s="1376"/>
      <c r="J13" s="1376"/>
      <c r="K13" s="1376"/>
      <c r="L13" s="1376"/>
      <c r="M13" s="1376"/>
      <c r="N13" s="1376"/>
      <c r="O13" s="1376"/>
      <c r="P13" s="1430"/>
      <c r="Q13" s="17"/>
      <c r="R13" s="320">
        <f t="shared" ca="1" si="1"/>
        <v>21.2</v>
      </c>
      <c r="S13" s="44"/>
    </row>
    <row r="14" spans="1:24" ht="15" customHeight="1" x14ac:dyDescent="0.25">
      <c r="B14" s="17"/>
      <c r="C14" s="1049"/>
      <c r="D14" s="1376" t="str">
        <f t="shared" ca="1" si="0"/>
        <v>LEGE REGEL</v>
      </c>
      <c r="E14" s="1376"/>
      <c r="F14" s="1376"/>
      <c r="G14" s="1376"/>
      <c r="H14" s="1376"/>
      <c r="I14" s="1376"/>
      <c r="J14" s="1376"/>
      <c r="K14" s="1376"/>
      <c r="L14" s="1376"/>
      <c r="M14" s="1376"/>
      <c r="N14" s="1376"/>
      <c r="O14" s="1376"/>
      <c r="P14" s="1430"/>
      <c r="Q14" s="17"/>
      <c r="R14" s="320">
        <f t="shared" ca="1" si="1"/>
        <v>99.9</v>
      </c>
      <c r="S14" s="44"/>
    </row>
    <row r="15" spans="1:24" ht="15" customHeight="1" x14ac:dyDescent="0.25">
      <c r="B15" s="17"/>
      <c r="C15" s="1049"/>
      <c r="D15" s="1376" t="str">
        <f t="shared" ca="1" si="0"/>
        <v>Voorspellingen Eindstand in de Groep:</v>
      </c>
      <c r="E15" s="1376"/>
      <c r="F15" s="1376"/>
      <c r="G15" s="1376"/>
      <c r="H15" s="1376"/>
      <c r="I15" s="1376"/>
      <c r="J15" s="1376"/>
      <c r="K15" s="1376"/>
      <c r="L15" s="1376"/>
      <c r="M15" s="1376"/>
      <c r="N15" s="1376"/>
      <c r="O15" s="1376"/>
      <c r="P15" s="1430"/>
      <c r="Q15" s="17"/>
      <c r="R15" s="320">
        <f t="shared" ca="1" si="1"/>
        <v>25</v>
      </c>
      <c r="S15" s="44"/>
    </row>
    <row r="16" spans="1:24" ht="15" customHeight="1" x14ac:dyDescent="0.25">
      <c r="B16" s="17"/>
      <c r="C16" s="1049"/>
      <c r="D16" s="1376" t="str">
        <f t="shared" ca="1" si="0"/>
        <v>Het genereren van de deelnamecode voor de eindstand in de groep is niet mogelijk in verband met het</v>
      </c>
      <c r="E16" s="1376"/>
      <c r="F16" s="1376"/>
      <c r="G16" s="1376"/>
      <c r="H16" s="1376"/>
      <c r="I16" s="1376"/>
      <c r="J16" s="1376"/>
      <c r="K16" s="1376"/>
      <c r="L16" s="1376"/>
      <c r="M16" s="1376"/>
      <c r="N16" s="1376"/>
      <c r="O16" s="1376"/>
      <c r="P16" s="1430"/>
      <c r="Q16" s="17"/>
      <c r="R16" s="320">
        <f t="shared" ca="1" si="1"/>
        <v>26.1</v>
      </c>
      <c r="S16" s="44"/>
    </row>
    <row r="17" spans="2:19" ht="15" customHeight="1" x14ac:dyDescent="0.25">
      <c r="B17" s="17"/>
      <c r="C17" s="1049"/>
      <c r="D17" s="1376" t="str">
        <f t="shared" ca="1" si="0"/>
        <v>ontbreken van gegevens. Controleer of alle velden zijn ingevuld op het werkblad "Eindstand Groep".</v>
      </c>
      <c r="E17" s="1376"/>
      <c r="F17" s="1376"/>
      <c r="G17" s="1376"/>
      <c r="H17" s="1376"/>
      <c r="I17" s="1376"/>
      <c r="J17" s="1376"/>
      <c r="K17" s="1376"/>
      <c r="L17" s="1376"/>
      <c r="M17" s="1376"/>
      <c r="N17" s="1376"/>
      <c r="O17" s="1376"/>
      <c r="P17" s="1430"/>
      <c r="Q17" s="17"/>
      <c r="R17" s="320">
        <f t="shared" ca="1" si="1"/>
        <v>26.2</v>
      </c>
      <c r="S17" s="44"/>
    </row>
    <row r="18" spans="2:19" ht="15" customHeight="1" x14ac:dyDescent="0.25">
      <c r="B18" s="17"/>
      <c r="C18" s="1049"/>
      <c r="D18" s="1376" t="str">
        <f t="shared" ca="1" si="0"/>
        <v>LEGE REGEL</v>
      </c>
      <c r="E18" s="1376"/>
      <c r="F18" s="1376"/>
      <c r="G18" s="1376"/>
      <c r="H18" s="1376"/>
      <c r="I18" s="1376"/>
      <c r="J18" s="1376"/>
      <c r="K18" s="1376"/>
      <c r="L18" s="1376"/>
      <c r="M18" s="1376"/>
      <c r="N18" s="1376"/>
      <c r="O18" s="1376"/>
      <c r="P18" s="1430"/>
      <c r="Q18" s="17"/>
      <c r="R18" s="320">
        <f t="shared" ca="1" si="1"/>
        <v>99.9</v>
      </c>
      <c r="S18" s="44"/>
    </row>
    <row r="19" spans="2:19" ht="15" customHeight="1" x14ac:dyDescent="0.25">
      <c r="B19" s="17"/>
      <c r="C19" s="1049"/>
      <c r="D19" s="1376" t="str">
        <f t="shared" ca="1" si="0"/>
        <v>Voorspellingen Finalewedstrijden:</v>
      </c>
      <c r="E19" s="1376"/>
      <c r="F19" s="1376"/>
      <c r="G19" s="1376"/>
      <c r="H19" s="1376"/>
      <c r="I19" s="1376"/>
      <c r="J19" s="1376"/>
      <c r="K19" s="1376"/>
      <c r="L19" s="1376"/>
      <c r="M19" s="1376"/>
      <c r="N19" s="1376"/>
      <c r="O19" s="1376"/>
      <c r="P19" s="1430"/>
      <c r="Q19" s="17"/>
      <c r="R19" s="320">
        <f t="shared" ca="1" si="1"/>
        <v>30</v>
      </c>
      <c r="S19" s="44"/>
    </row>
    <row r="20" spans="2:19" ht="15" customHeight="1" x14ac:dyDescent="0.25">
      <c r="B20" s="17"/>
      <c r="C20" s="1049"/>
      <c r="D20" s="1376" t="str">
        <f t="shared" ca="1" si="0"/>
        <v>Het genereren van de deelnamecode voor de finalewedstrijden is niet mogelijk in verband met het ontbreken</v>
      </c>
      <c r="E20" s="1376"/>
      <c r="F20" s="1376"/>
      <c r="G20" s="1376"/>
      <c r="H20" s="1376"/>
      <c r="I20" s="1376"/>
      <c r="J20" s="1376"/>
      <c r="K20" s="1376"/>
      <c r="L20" s="1376"/>
      <c r="M20" s="1376"/>
      <c r="N20" s="1376"/>
      <c r="O20" s="1376"/>
      <c r="P20" s="1430"/>
      <c r="Q20" s="17"/>
      <c r="R20" s="320">
        <f t="shared" ca="1" si="1"/>
        <v>31.1</v>
      </c>
      <c r="S20" s="44"/>
    </row>
    <row r="21" spans="2:19" ht="15" customHeight="1" x14ac:dyDescent="0.25">
      <c r="B21" s="17"/>
      <c r="C21" s="1049"/>
      <c r="D21" s="1376" t="str">
        <f t="shared" ca="1" si="0"/>
        <v>van gegevens. Controleer of alle velden zijn ingevuld op het werkblad "Finalewedstrijden".</v>
      </c>
      <c r="E21" s="1376"/>
      <c r="F21" s="1376"/>
      <c r="G21" s="1376"/>
      <c r="H21" s="1376"/>
      <c r="I21" s="1376"/>
      <c r="J21" s="1376"/>
      <c r="K21" s="1376"/>
      <c r="L21" s="1376"/>
      <c r="M21" s="1376"/>
      <c r="N21" s="1376"/>
      <c r="O21" s="1376"/>
      <c r="P21" s="1430"/>
      <c r="Q21" s="17"/>
      <c r="R21" s="320">
        <f t="shared" ca="1" si="1"/>
        <v>31.2</v>
      </c>
      <c r="S21" s="44"/>
    </row>
    <row r="22" spans="2:19" ht="15" customHeight="1" x14ac:dyDescent="0.25">
      <c r="B22" s="17"/>
      <c r="C22" s="1065"/>
      <c r="D22" s="1376" t="str">
        <f t="shared" ca="1" si="0"/>
        <v>LEGE REGEL</v>
      </c>
      <c r="E22" s="1376"/>
      <c r="F22" s="1376"/>
      <c r="G22" s="1376"/>
      <c r="H22" s="1376"/>
      <c r="I22" s="1376"/>
      <c r="J22" s="1376"/>
      <c r="K22" s="1376"/>
      <c r="L22" s="1376"/>
      <c r="M22" s="1376"/>
      <c r="N22" s="1376"/>
      <c r="O22" s="1376"/>
      <c r="P22" s="1430"/>
      <c r="Q22" s="17"/>
      <c r="R22" s="320">
        <f t="shared" ca="1" si="1"/>
        <v>99.9</v>
      </c>
      <c r="S22" s="44"/>
    </row>
    <row r="23" spans="2:19" ht="15" customHeight="1" x14ac:dyDescent="0.25">
      <c r="B23" s="17"/>
      <c r="C23" s="1065"/>
      <c r="D23" s="1376" t="str">
        <f t="shared" ca="1" si="0"/>
        <v>Voorspelling Winnaar EURO 2024:</v>
      </c>
      <c r="E23" s="1376"/>
      <c r="F23" s="1376"/>
      <c r="G23" s="1376"/>
      <c r="H23" s="1376"/>
      <c r="I23" s="1376"/>
      <c r="J23" s="1376"/>
      <c r="K23" s="1376"/>
      <c r="L23" s="1376"/>
      <c r="M23" s="1376"/>
      <c r="N23" s="1376"/>
      <c r="O23" s="1376"/>
      <c r="P23" s="1430"/>
      <c r="Q23" s="17"/>
      <c r="R23" s="320">
        <f t="shared" ca="1" si="1"/>
        <v>40</v>
      </c>
      <c r="S23" s="44"/>
    </row>
    <row r="24" spans="2:19" ht="15" customHeight="1" x14ac:dyDescent="0.25">
      <c r="B24" s="17"/>
      <c r="C24" s="1065"/>
      <c r="D24" s="1376" t="str">
        <f t="shared" ca="1" si="0"/>
        <v>Het genereren van de deelnamecode voor de winnaar van het EK is niet mogelijk in verband met het ontbreken</v>
      </c>
      <c r="E24" s="1376"/>
      <c r="F24" s="1376"/>
      <c r="G24" s="1376"/>
      <c r="H24" s="1376"/>
      <c r="I24" s="1376"/>
      <c r="J24" s="1376"/>
      <c r="K24" s="1376"/>
      <c r="L24" s="1376"/>
      <c r="M24" s="1376"/>
      <c r="N24" s="1376"/>
      <c r="O24" s="1376"/>
      <c r="P24" s="1430"/>
      <c r="Q24" s="17"/>
      <c r="R24" s="320">
        <f t="shared" ca="1" si="1"/>
        <v>41.1</v>
      </c>
      <c r="S24" s="44"/>
    </row>
    <row r="25" spans="2:19" ht="15" customHeight="1" x14ac:dyDescent="0.25">
      <c r="B25" s="17"/>
      <c r="C25" s="1065"/>
      <c r="D25" s="1376" t="str">
        <f t="shared" ca="1" si="0"/>
        <v>van gegevens. Voorspel de winnaar van het EK op het werkblad "Finalewedstrijden".</v>
      </c>
      <c r="E25" s="1376"/>
      <c r="F25" s="1376"/>
      <c r="G25" s="1376"/>
      <c r="H25" s="1376"/>
      <c r="I25" s="1376"/>
      <c r="J25" s="1376"/>
      <c r="K25" s="1376"/>
      <c r="L25" s="1376"/>
      <c r="M25" s="1376"/>
      <c r="N25" s="1376"/>
      <c r="O25" s="1376"/>
      <c r="P25" s="1430"/>
      <c r="Q25" s="17"/>
      <c r="R25" s="320">
        <f t="shared" ca="1" si="1"/>
        <v>41.2</v>
      </c>
      <c r="S25" s="44"/>
    </row>
    <row r="26" spans="2:19" ht="15" customHeight="1" x14ac:dyDescent="0.25">
      <c r="B26" s="17"/>
      <c r="C26" s="1065"/>
      <c r="D26" s="1376" t="str">
        <f t="shared" ca="1" si="0"/>
        <v>LEGE REGEL</v>
      </c>
      <c r="E26" s="1376"/>
      <c r="F26" s="1376"/>
      <c r="G26" s="1376"/>
      <c r="H26" s="1376"/>
      <c r="I26" s="1376"/>
      <c r="J26" s="1376"/>
      <c r="K26" s="1376"/>
      <c r="L26" s="1376"/>
      <c r="M26" s="1376"/>
      <c r="N26" s="1376"/>
      <c r="O26" s="1376"/>
      <c r="P26" s="1430"/>
      <c r="Q26" s="17"/>
      <c r="R26" s="320">
        <f t="shared" ca="1" si="1"/>
        <v>99.9</v>
      </c>
      <c r="S26" s="44"/>
    </row>
    <row r="27" spans="2:19" ht="15" customHeight="1" x14ac:dyDescent="0.25">
      <c r="B27" s="17"/>
      <c r="C27" s="1065"/>
      <c r="D27" s="1376" t="str">
        <f t="shared" ca="1" si="0"/>
        <v>Bonusvragen:</v>
      </c>
      <c r="E27" s="1376"/>
      <c r="F27" s="1376"/>
      <c r="G27" s="1376"/>
      <c r="H27" s="1376"/>
      <c r="I27" s="1376"/>
      <c r="J27" s="1376"/>
      <c r="K27" s="1376"/>
      <c r="L27" s="1376"/>
      <c r="M27" s="1376"/>
      <c r="N27" s="1376"/>
      <c r="O27" s="1376"/>
      <c r="P27" s="1430"/>
      <c r="Q27" s="17"/>
      <c r="R27" s="320">
        <f t="shared" ca="1" si="1"/>
        <v>50</v>
      </c>
      <c r="S27" s="44"/>
    </row>
    <row r="28" spans="2:19" ht="15" customHeight="1" x14ac:dyDescent="0.25">
      <c r="B28" s="17"/>
      <c r="C28" s="1065"/>
      <c r="D28" s="1376" t="str">
        <f t="shared" ca="1" si="0"/>
        <v>Het genereren van de deelnamecode voor de bonusvragen is niet mogelijk in verband met het ontbreken</v>
      </c>
      <c r="E28" s="1376"/>
      <c r="F28" s="1376"/>
      <c r="G28" s="1376"/>
      <c r="H28" s="1376"/>
      <c r="I28" s="1376"/>
      <c r="J28" s="1376"/>
      <c r="K28" s="1376"/>
      <c r="L28" s="1376"/>
      <c r="M28" s="1376"/>
      <c r="N28" s="1376"/>
      <c r="O28" s="1376"/>
      <c r="P28" s="1430"/>
      <c r="Q28" s="17"/>
      <c r="R28" s="320">
        <f t="shared" ca="1" si="1"/>
        <v>51.1</v>
      </c>
      <c r="S28" s="44"/>
    </row>
    <row r="29" spans="2:19" ht="15" customHeight="1" x14ac:dyDescent="0.25">
      <c r="B29" s="17"/>
      <c r="C29" s="1065"/>
      <c r="D29" s="1376" t="str">
        <f t="shared" ca="1" si="0"/>
        <v>van gegevens. Controleer of alle velden zijn ingevuld op het werkblad "Bonusvragen".</v>
      </c>
      <c r="E29" s="1376"/>
      <c r="F29" s="1376"/>
      <c r="G29" s="1376"/>
      <c r="H29" s="1376"/>
      <c r="I29" s="1376"/>
      <c r="J29" s="1376"/>
      <c r="K29" s="1376"/>
      <c r="L29" s="1376"/>
      <c r="M29" s="1376"/>
      <c r="N29" s="1376"/>
      <c r="O29" s="1376"/>
      <c r="P29" s="1430"/>
      <c r="Q29" s="17"/>
      <c r="R29" s="320">
        <f t="shared" ca="1" si="1"/>
        <v>51.2</v>
      </c>
      <c r="S29" s="44"/>
    </row>
    <row r="30" spans="2:19" ht="15" customHeight="1" x14ac:dyDescent="0.25">
      <c r="B30" s="17"/>
      <c r="C30" s="1065"/>
      <c r="D30" s="1376" t="str">
        <f t="shared" ref="D30:D33" ca="1" si="2">VLOOKUP(R30,$B$63:$D$116,3)</f>
        <v>LEGE REGEL</v>
      </c>
      <c r="E30" s="1376"/>
      <c r="F30" s="1376"/>
      <c r="G30" s="1376"/>
      <c r="H30" s="1376"/>
      <c r="I30" s="1376"/>
      <c r="J30" s="1376"/>
      <c r="K30" s="1376"/>
      <c r="L30" s="1376"/>
      <c r="M30" s="1376"/>
      <c r="N30" s="1376"/>
      <c r="O30" s="1376"/>
      <c r="P30" s="1430"/>
      <c r="Q30" s="17"/>
      <c r="R30" s="320">
        <f t="shared" ca="1" si="1"/>
        <v>99.9</v>
      </c>
      <c r="S30" s="44"/>
    </row>
    <row r="31" spans="2:19" ht="15" customHeight="1" x14ac:dyDescent="0.25">
      <c r="B31" s="17"/>
      <c r="C31" s="1065"/>
      <c r="D31" s="1376" t="str">
        <f t="shared" ca="1" si="2"/>
        <v>LEGE REGEL</v>
      </c>
      <c r="E31" s="1376"/>
      <c r="F31" s="1376"/>
      <c r="G31" s="1376"/>
      <c r="H31" s="1376"/>
      <c r="I31" s="1376"/>
      <c r="J31" s="1376"/>
      <c r="K31" s="1376"/>
      <c r="L31" s="1376"/>
      <c r="M31" s="1376"/>
      <c r="N31" s="1376"/>
      <c r="O31" s="1376"/>
      <c r="P31" s="1430"/>
      <c r="Q31" s="17"/>
      <c r="R31" s="320">
        <f t="shared" ca="1" si="1"/>
        <v>99.9</v>
      </c>
      <c r="S31" s="44"/>
    </row>
    <row r="32" spans="2:19" ht="15" customHeight="1" x14ac:dyDescent="0.25">
      <c r="B32" s="17"/>
      <c r="C32" s="1065"/>
      <c r="D32" s="1376" t="str">
        <f t="shared" ca="1" si="2"/>
        <v>LEGE REGEL</v>
      </c>
      <c r="E32" s="1376"/>
      <c r="F32" s="1376"/>
      <c r="G32" s="1376"/>
      <c r="H32" s="1376"/>
      <c r="I32" s="1376"/>
      <c r="J32" s="1376"/>
      <c r="K32" s="1376"/>
      <c r="L32" s="1376"/>
      <c r="M32" s="1376"/>
      <c r="N32" s="1376"/>
      <c r="O32" s="1376"/>
      <c r="P32" s="1430"/>
      <c r="Q32" s="17"/>
      <c r="R32" s="320">
        <f t="shared" ca="1" si="1"/>
        <v>99.9</v>
      </c>
      <c r="S32" s="44"/>
    </row>
    <row r="33" spans="2:19" ht="15" customHeight="1" x14ac:dyDescent="0.25">
      <c r="B33" s="17"/>
      <c r="C33" s="1065"/>
      <c r="D33" s="1376" t="str">
        <f t="shared" ca="1" si="2"/>
        <v>LEGE REGEL</v>
      </c>
      <c r="E33" s="1376"/>
      <c r="F33" s="1376"/>
      <c r="G33" s="1376"/>
      <c r="H33" s="1376"/>
      <c r="I33" s="1376"/>
      <c r="J33" s="1376"/>
      <c r="K33" s="1376"/>
      <c r="L33" s="1376"/>
      <c r="M33" s="1376"/>
      <c r="N33" s="1376"/>
      <c r="O33" s="1376"/>
      <c r="P33" s="1430"/>
      <c r="Q33" s="17"/>
      <c r="R33" s="320">
        <f t="shared" ca="1" si="1"/>
        <v>99.9</v>
      </c>
      <c r="S33" s="44"/>
    </row>
    <row r="34" spans="2:19" ht="15" customHeight="1" x14ac:dyDescent="0.25">
      <c r="B34" s="17"/>
      <c r="C34" s="1066"/>
      <c r="D34" s="558"/>
      <c r="E34" s="558"/>
      <c r="F34" s="558"/>
      <c r="G34" s="558"/>
      <c r="H34" s="558"/>
      <c r="I34" s="558"/>
      <c r="J34" s="558"/>
      <c r="K34" s="558"/>
      <c r="L34" s="558"/>
      <c r="M34" s="558"/>
      <c r="N34" s="558"/>
      <c r="O34" s="558"/>
      <c r="P34" s="1067"/>
      <c r="Q34" s="17"/>
      <c r="R34" s="73"/>
      <c r="S34" s="44"/>
    </row>
    <row r="35" spans="2:19" ht="15" customHeight="1" x14ac:dyDescent="0.25">
      <c r="B35" s="17"/>
      <c r="C35" s="12"/>
      <c r="D35" s="12"/>
      <c r="E35" s="12"/>
      <c r="F35" s="12"/>
      <c r="G35" s="12"/>
      <c r="H35" s="12"/>
      <c r="I35" s="12"/>
      <c r="J35" s="12"/>
      <c r="K35" s="12"/>
      <c r="L35" s="12"/>
      <c r="M35" s="12"/>
      <c r="N35" s="12"/>
      <c r="O35" s="12"/>
      <c r="P35" s="12"/>
      <c r="Q35" s="17"/>
      <c r="R35" s="73"/>
      <c r="S35" s="44"/>
    </row>
    <row r="36" spans="2:19" ht="15" customHeight="1" x14ac:dyDescent="0.25">
      <c r="B36" s="17"/>
      <c r="C36" s="1075"/>
      <c r="D36" s="1090" t="str">
        <f ca="1">Taal04!$B$159</f>
        <v>De Deelnamecode</v>
      </c>
      <c r="E36" s="1077"/>
      <c r="F36" s="1077"/>
      <c r="G36" s="1077"/>
      <c r="H36" s="1077"/>
      <c r="I36" s="1077"/>
      <c r="J36" s="1077"/>
      <c r="K36" s="1077"/>
      <c r="L36" s="1077"/>
      <c r="M36" s="1077"/>
      <c r="N36" s="1077"/>
      <c r="O36" s="1077"/>
      <c r="P36" s="1079"/>
      <c r="Q36" s="17"/>
      <c r="R36" s="73"/>
      <c r="S36" s="44"/>
    </row>
    <row r="37" spans="2:19" ht="15" customHeight="1" x14ac:dyDescent="0.25">
      <c r="B37" s="17"/>
      <c r="C37" s="88"/>
      <c r="D37" s="56"/>
      <c r="E37" s="56"/>
      <c r="F37" s="56"/>
      <c r="G37" s="56"/>
      <c r="H37" s="56"/>
      <c r="I37" s="56"/>
      <c r="J37" s="56"/>
      <c r="K37" s="56"/>
      <c r="L37" s="56"/>
      <c r="M37" s="56"/>
      <c r="N37" s="56"/>
      <c r="O37" s="56"/>
      <c r="P37" s="386"/>
      <c r="Q37" s="17"/>
      <c r="R37" s="73"/>
      <c r="S37" s="44"/>
    </row>
    <row r="38" spans="2:19" ht="15" customHeight="1" x14ac:dyDescent="0.25">
      <c r="B38" s="17"/>
      <c r="C38" s="408"/>
      <c r="D38" s="15" t="str">
        <f ca="1">Taal04!$B$229</f>
        <v>In het onderstaande veld zal uw deelnamecode gegenereerd worden als alle velden volledig en goed zijn ingevuld.</v>
      </c>
      <c r="E38" s="15"/>
      <c r="F38" s="15"/>
      <c r="G38" s="15"/>
      <c r="H38" s="15"/>
      <c r="I38" s="15"/>
      <c r="J38" s="15"/>
      <c r="K38" s="15"/>
      <c r="L38" s="15"/>
      <c r="M38" s="15"/>
      <c r="N38" s="15"/>
      <c r="O38" s="15"/>
      <c r="P38" s="387"/>
      <c r="Q38" s="17"/>
      <c r="R38" s="73"/>
      <c r="S38" s="44"/>
    </row>
    <row r="39" spans="2:19" ht="15" customHeight="1" x14ac:dyDescent="0.25">
      <c r="B39" s="17"/>
      <c r="C39" s="408"/>
      <c r="D39" s="15"/>
      <c r="E39" s="15"/>
      <c r="F39" s="15"/>
      <c r="G39" s="15"/>
      <c r="H39" s="15"/>
      <c r="I39" s="15"/>
      <c r="J39" s="15"/>
      <c r="K39" s="15"/>
      <c r="L39" s="15"/>
      <c r="M39" s="15"/>
      <c r="N39" s="15"/>
      <c r="O39" s="15"/>
      <c r="P39" s="387"/>
      <c r="Q39" s="17"/>
      <c r="R39" s="73"/>
      <c r="S39" s="44"/>
    </row>
    <row r="40" spans="2:19" ht="15" customHeight="1" x14ac:dyDescent="0.25">
      <c r="B40" s="17"/>
      <c r="C40" s="408"/>
      <c r="D40" s="1068"/>
      <c r="E40" s="1290" t="str">
        <f ca="1">IF(OR(F134=1,AF133=3),AB128,IF(X128=0,R129,IF(K126=1,B135,B128&amp;B129&amp;B130&amp;H130&amp;B131&amp;H131&amp;B132&amp;H132&amp;I130&amp;M130&amp;I131&amp;M131&amp;I132&amp;M132&amp;I133&amp;M133&amp;IF(AF133=0,"BETA",""))))</f>
        <v>De deelnamecode kan niet worden gegenereerd door het ontbreken van gegevens of foutieve waarden. Het gaat om de volgende onderdelen: Gegevens Deelnemer, Voorspellingen Groepswedstrijden, Voorspellingen Eindstand in de Groep, Voorspellingen Finalewedstrijden, Voorspelling Winnaar EURO 2024, Bonusvragen.</v>
      </c>
      <c r="F40" s="1290"/>
      <c r="G40" s="1290"/>
      <c r="H40" s="1290"/>
      <c r="I40" s="1290"/>
      <c r="J40" s="1290"/>
      <c r="K40" s="1290"/>
      <c r="L40" s="1290"/>
      <c r="M40" s="1290"/>
      <c r="N40" s="1290"/>
      <c r="O40" s="1069"/>
      <c r="P40" s="387"/>
      <c r="Q40" s="17"/>
      <c r="R40" s="73"/>
      <c r="S40" s="44"/>
    </row>
    <row r="41" spans="2:19" ht="15" customHeight="1" x14ac:dyDescent="0.25">
      <c r="B41" s="17"/>
      <c r="C41" s="408"/>
      <c r="D41" s="1070"/>
      <c r="E41" s="1293"/>
      <c r="F41" s="1293"/>
      <c r="G41" s="1293"/>
      <c r="H41" s="1293"/>
      <c r="I41" s="1293"/>
      <c r="J41" s="1293"/>
      <c r="K41" s="1293"/>
      <c r="L41" s="1293"/>
      <c r="M41" s="1293"/>
      <c r="N41" s="1293"/>
      <c r="O41" s="1071"/>
      <c r="P41" s="387"/>
      <c r="Q41" s="17"/>
      <c r="R41" s="73"/>
      <c r="S41" s="44"/>
    </row>
    <row r="42" spans="2:19" ht="15" customHeight="1" x14ac:dyDescent="0.25">
      <c r="B42" s="17"/>
      <c r="C42" s="408"/>
      <c r="D42" s="1070"/>
      <c r="E42" s="1293"/>
      <c r="F42" s="1293"/>
      <c r="G42" s="1293"/>
      <c r="H42" s="1293"/>
      <c r="I42" s="1293"/>
      <c r="J42" s="1293"/>
      <c r="K42" s="1293"/>
      <c r="L42" s="1293"/>
      <c r="M42" s="1293"/>
      <c r="N42" s="1293"/>
      <c r="O42" s="1071"/>
      <c r="P42" s="387"/>
      <c r="Q42" s="17"/>
      <c r="R42" s="73"/>
      <c r="S42" s="44"/>
    </row>
    <row r="43" spans="2:19" ht="15" customHeight="1" x14ac:dyDescent="0.25">
      <c r="B43" s="17"/>
      <c r="C43" s="408"/>
      <c r="D43" s="1070"/>
      <c r="E43" s="1293"/>
      <c r="F43" s="1293"/>
      <c r="G43" s="1293"/>
      <c r="H43" s="1293"/>
      <c r="I43" s="1293"/>
      <c r="J43" s="1293"/>
      <c r="K43" s="1293"/>
      <c r="L43" s="1293"/>
      <c r="M43" s="1293"/>
      <c r="N43" s="1293"/>
      <c r="O43" s="1071"/>
      <c r="P43" s="387"/>
      <c r="Q43" s="17"/>
      <c r="R43" s="73"/>
      <c r="S43" s="44"/>
    </row>
    <row r="44" spans="2:19" ht="15" customHeight="1" x14ac:dyDescent="0.25">
      <c r="B44" s="17"/>
      <c r="C44" s="408"/>
      <c r="D44" s="1070"/>
      <c r="E44" s="1293"/>
      <c r="F44" s="1293"/>
      <c r="G44" s="1293"/>
      <c r="H44" s="1293"/>
      <c r="I44" s="1293"/>
      <c r="J44" s="1293"/>
      <c r="K44" s="1293"/>
      <c r="L44" s="1293"/>
      <c r="M44" s="1293"/>
      <c r="N44" s="1293"/>
      <c r="O44" s="1071"/>
      <c r="P44" s="387"/>
      <c r="Q44" s="17"/>
      <c r="R44" s="73"/>
      <c r="S44" s="44"/>
    </row>
    <row r="45" spans="2:19" ht="15" customHeight="1" x14ac:dyDescent="0.25">
      <c r="B45" s="17"/>
      <c r="C45" s="408"/>
      <c r="D45" s="1072"/>
      <c r="E45" s="1296"/>
      <c r="F45" s="1296"/>
      <c r="G45" s="1296"/>
      <c r="H45" s="1296"/>
      <c r="I45" s="1296"/>
      <c r="J45" s="1296"/>
      <c r="K45" s="1296"/>
      <c r="L45" s="1296"/>
      <c r="M45" s="1296"/>
      <c r="N45" s="1296"/>
      <c r="O45" s="1073"/>
      <c r="P45" s="387"/>
      <c r="Q45" s="17"/>
      <c r="R45" s="73"/>
      <c r="S45" s="44"/>
    </row>
    <row r="46" spans="2:19" ht="15" customHeight="1" x14ac:dyDescent="0.25">
      <c r="B46" s="17"/>
      <c r="C46" s="388"/>
      <c r="D46" s="57"/>
      <c r="E46" s="57"/>
      <c r="F46" s="57"/>
      <c r="G46" s="57"/>
      <c r="H46" s="57"/>
      <c r="I46" s="57"/>
      <c r="J46" s="57"/>
      <c r="K46" s="57"/>
      <c r="L46" s="57"/>
      <c r="M46" s="57"/>
      <c r="N46" s="57"/>
      <c r="O46" s="57"/>
      <c r="P46" s="389"/>
      <c r="Q46" s="17"/>
      <c r="R46" s="73"/>
      <c r="S46" s="44"/>
    </row>
    <row r="47" spans="2:19" ht="15" customHeight="1" x14ac:dyDescent="0.25">
      <c r="B47" s="17"/>
      <c r="C47" s="12"/>
      <c r="D47" s="12"/>
      <c r="E47" s="12"/>
      <c r="F47" s="12"/>
      <c r="G47" s="12"/>
      <c r="H47" s="12"/>
      <c r="I47" s="12"/>
      <c r="J47" s="12"/>
      <c r="K47" s="12"/>
      <c r="L47" s="12"/>
      <c r="M47" s="12"/>
      <c r="N47" s="12"/>
      <c r="O47" s="12"/>
      <c r="P47" s="12"/>
      <c r="Q47" s="17"/>
      <c r="R47" s="73"/>
      <c r="S47" s="44"/>
    </row>
    <row r="48" spans="2:19" ht="15" customHeight="1" x14ac:dyDescent="0.25">
      <c r="B48" s="17"/>
      <c r="C48" s="1075"/>
      <c r="D48" s="1440" t="str">
        <f>IF(Reglement!D71="","",Reglement!D71)</f>
        <v>www.excel-pool.nl</v>
      </c>
      <c r="E48" s="1440"/>
      <c r="F48" s="1440"/>
      <c r="G48" s="1440"/>
      <c r="H48" s="1440"/>
      <c r="I48" s="1440"/>
      <c r="J48" s="1093"/>
      <c r="K48" s="1093"/>
      <c r="L48" s="1093"/>
      <c r="M48" s="1093"/>
      <c r="N48" s="1093"/>
      <c r="O48" s="1094" t="str">
        <f>IF(Reglement!M71="","",Reglement!M71)</f>
        <v>©2024 Eric de Jong v24.00hd</v>
      </c>
      <c r="P48" s="1079"/>
      <c r="Q48" s="17"/>
      <c r="R48" s="73"/>
      <c r="S48" s="44"/>
    </row>
    <row r="49" spans="2:34" ht="15" customHeight="1" x14ac:dyDescent="0.25">
      <c r="B49" s="17"/>
      <c r="C49" s="16"/>
      <c r="D49" s="16"/>
      <c r="E49" s="16"/>
      <c r="F49" s="16"/>
      <c r="G49" s="16"/>
      <c r="H49" s="16"/>
      <c r="I49" s="16"/>
      <c r="J49" s="16"/>
      <c r="K49" s="16"/>
      <c r="L49" s="16"/>
      <c r="M49" s="16"/>
      <c r="N49" s="16"/>
      <c r="O49" s="16"/>
      <c r="P49" s="16"/>
      <c r="Q49" s="17"/>
      <c r="R49" s="73"/>
      <c r="S49" s="44"/>
    </row>
    <row r="50" spans="2:34" x14ac:dyDescent="0.25">
      <c r="B50" s="1186"/>
      <c r="C50" s="1186"/>
      <c r="D50" s="1186"/>
      <c r="E50" s="1186"/>
      <c r="F50" s="1186"/>
      <c r="G50" s="1186"/>
      <c r="H50" s="1186"/>
      <c r="I50" s="1186"/>
      <c r="J50" s="1186"/>
      <c r="K50" s="1186"/>
      <c r="L50" s="1186"/>
      <c r="M50" s="1186"/>
      <c r="N50" s="1186"/>
      <c r="O50" s="1186"/>
      <c r="P50" s="1186"/>
      <c r="Q50" s="1186"/>
      <c r="S50" s="44"/>
    </row>
    <row r="51" spans="2:34" hidden="1" x14ac:dyDescent="0.25">
      <c r="B51" s="277"/>
      <c r="C51" s="278" t="s">
        <v>306</v>
      </c>
      <c r="D51" s="277"/>
      <c r="E51" s="277"/>
      <c r="F51" s="277"/>
      <c r="G51" s="277"/>
      <c r="H51" s="277"/>
      <c r="I51" s="277"/>
      <c r="J51" s="277"/>
      <c r="K51" s="277"/>
      <c r="L51" s="277"/>
      <c r="M51" s="277"/>
      <c r="N51" s="277"/>
      <c r="O51" s="277"/>
      <c r="P51" s="277"/>
      <c r="Q51" s="277"/>
      <c r="R51" s="277"/>
      <c r="S51" s="268"/>
      <c r="T51" s="268"/>
      <c r="U51" s="268"/>
      <c r="V51" s="268"/>
      <c r="W51" s="268"/>
      <c r="X51" s="268"/>
      <c r="Y51" s="268"/>
      <c r="Z51" s="268"/>
      <c r="AA51" s="268"/>
      <c r="AB51" s="268"/>
      <c r="AC51" s="268"/>
      <c r="AD51" s="268"/>
      <c r="AE51" s="268"/>
      <c r="AF51" s="268"/>
      <c r="AG51" s="268"/>
      <c r="AH51" s="268"/>
    </row>
    <row r="52" spans="2:34" hidden="1" x14ac:dyDescent="0.25">
      <c r="B52" s="277"/>
      <c r="C52" s="284" t="s">
        <v>307</v>
      </c>
      <c r="D52" s="277"/>
      <c r="E52" s="277"/>
      <c r="F52" s="277"/>
      <c r="G52" s="277"/>
      <c r="H52" s="282" t="str">
        <f>LEFT(RIGHT(O48,2),1)</f>
        <v>h</v>
      </c>
      <c r="I52" s="277"/>
      <c r="J52" s="277"/>
      <c r="K52" s="277"/>
      <c r="L52" s="277"/>
      <c r="M52" s="277"/>
      <c r="N52" s="309" t="s">
        <v>335</v>
      </c>
      <c r="O52" s="1403" t="s">
        <v>64</v>
      </c>
      <c r="P52" s="1403"/>
      <c r="Q52" s="1403"/>
      <c r="R52" s="277"/>
      <c r="S52" s="268"/>
      <c r="T52" s="1449" t="s">
        <v>533</v>
      </c>
      <c r="U52" s="756"/>
      <c r="V52" s="756"/>
      <c r="W52" s="756"/>
      <c r="X52" s="756"/>
      <c r="Y52" s="756"/>
      <c r="Z52" s="756"/>
      <c r="AA52" s="756"/>
      <c r="AB52" s="756"/>
      <c r="AC52" s="756"/>
      <c r="AD52" s="756"/>
      <c r="AE52" s="756"/>
      <c r="AF52" s="756"/>
      <c r="AG52" s="756"/>
      <c r="AH52" s="268"/>
    </row>
    <row r="53" spans="2:34" hidden="1" x14ac:dyDescent="0.25">
      <c r="B53" s="277"/>
      <c r="C53" s="284" t="s">
        <v>313</v>
      </c>
      <c r="D53" s="277"/>
      <c r="E53" s="277"/>
      <c r="F53" s="277"/>
      <c r="G53" s="277"/>
      <c r="H53" s="282" t="str">
        <f>IF(CODE($H$52)&lt;104,"JA","NEE")</f>
        <v>NEE</v>
      </c>
      <c r="I53" s="277"/>
      <c r="J53" s="284" t="s">
        <v>314</v>
      </c>
      <c r="K53" s="277"/>
      <c r="L53" s="277"/>
      <c r="M53" s="277"/>
      <c r="N53" s="282" t="str">
        <f>IF(AND(H53="JA",H54="JA"),"G1e",IF(AND(H53="NEE",H54="JA"),"G2e","n.v.t."))</f>
        <v>G2e</v>
      </c>
      <c r="O53" s="1405" t="str">
        <f ca="1">IF(N53="G1e",#REF!,IF(N53="G2e",Groepswedstrijden!AD16,"n.v.t."))</f>
        <v>FOUT</v>
      </c>
      <c r="P53" s="1405"/>
      <c r="Q53" s="1405"/>
      <c r="R53" s="277"/>
      <c r="S53" s="268"/>
      <c r="T53" s="1449"/>
      <c r="U53" s="886" t="s">
        <v>1249</v>
      </c>
      <c r="V53" s="756"/>
      <c r="W53" s="756"/>
      <c r="X53" s="756"/>
      <c r="Y53" s="756"/>
      <c r="Z53" s="1434" t="s">
        <v>1247</v>
      </c>
      <c r="AA53" s="1435"/>
      <c r="AB53" s="1435"/>
      <c r="AC53" s="1435"/>
      <c r="AD53" s="1434" t="s">
        <v>1248</v>
      </c>
      <c r="AE53" s="1435"/>
      <c r="AF53" s="1436"/>
      <c r="AG53" s="756"/>
      <c r="AH53" s="268"/>
    </row>
    <row r="54" spans="2:34" hidden="1" x14ac:dyDescent="0.25">
      <c r="B54" s="268"/>
      <c r="C54" s="283" t="s">
        <v>308</v>
      </c>
      <c r="D54" s="268"/>
      <c r="E54" s="268"/>
      <c r="F54" s="268"/>
      <c r="G54" s="268"/>
      <c r="H54" s="282" t="str">
        <f>IF(CODE($H$52)&lt;108,"JA","NEE")</f>
        <v>JA</v>
      </c>
      <c r="I54" s="268"/>
      <c r="J54" s="284" t="s">
        <v>315</v>
      </c>
      <c r="K54" s="277"/>
      <c r="L54" s="277"/>
      <c r="M54" s="277"/>
      <c r="N54" s="282" t="str">
        <f>IF(H55="JA","E1e","n.v.t.")</f>
        <v>E1e</v>
      </c>
      <c r="O54" s="1405" t="str">
        <f>IF(N54="E1e",'Eindstand Groep'!AA59,"n.v.t.")</f>
        <v>FOUT</v>
      </c>
      <c r="P54" s="1405"/>
      <c r="Q54" s="1405"/>
      <c r="R54" s="268"/>
      <c r="S54" s="268"/>
      <c r="T54" s="1449"/>
      <c r="U54" s="756"/>
      <c r="V54" s="756"/>
      <c r="W54" s="756"/>
      <c r="X54" s="756"/>
      <c r="Y54" s="756"/>
      <c r="Z54" s="887" t="s">
        <v>1244</v>
      </c>
      <c r="AA54" s="890" t="s">
        <v>1245</v>
      </c>
      <c r="AB54" s="888" t="s">
        <v>1246</v>
      </c>
      <c r="AC54" s="890" t="s">
        <v>398</v>
      </c>
      <c r="AD54" s="888" t="s">
        <v>1244</v>
      </c>
      <c r="AE54" s="890" t="s">
        <v>1245</v>
      </c>
      <c r="AF54" s="889" t="s">
        <v>1246</v>
      </c>
      <c r="AG54" s="756"/>
      <c r="AH54" s="268"/>
    </row>
    <row r="55" spans="2:34" hidden="1" x14ac:dyDescent="0.25">
      <c r="B55" s="268"/>
      <c r="C55" s="283" t="s">
        <v>309</v>
      </c>
      <c r="D55" s="268"/>
      <c r="E55" s="268"/>
      <c r="F55" s="268"/>
      <c r="G55" s="268"/>
      <c r="H55" s="282" t="str">
        <f>IF(ISEVEN(CODE($H$52)),"JA","NEE")</f>
        <v>JA</v>
      </c>
      <c r="I55" s="268"/>
      <c r="J55" s="284" t="s">
        <v>316</v>
      </c>
      <c r="K55" s="277"/>
      <c r="L55" s="268"/>
      <c r="M55" s="268"/>
      <c r="N55" s="282" t="str">
        <f>IF(AND(H56="JA",H57="JA",H58="JA"),"F1e",IF(AND(H56="NEE",H57="JA",H58="JA"),"F2e",IF(AND(H56="NEE",H57="NEE",H58="JA"),"F3e","n.v.t.")))</f>
        <v>F2e</v>
      </c>
      <c r="O55" s="1405" t="str">
        <f>IF(N55="F1e",#REF!,IF(N55="F2e",Finalewedstrijden!AP71,IF(N55="F3e",#REF!,"n.v.t.")))</f>
        <v>FOUT</v>
      </c>
      <c r="P55" s="1405"/>
      <c r="Q55" s="1405"/>
      <c r="R55" s="268"/>
      <c r="S55" s="268"/>
      <c r="T55" s="1449"/>
      <c r="U55" s="884" t="s">
        <v>1241</v>
      </c>
      <c r="V55" s="884"/>
      <c r="W55" s="884"/>
      <c r="X55" s="885" t="s">
        <v>67</v>
      </c>
      <c r="Y55" s="1108">
        <v>6</v>
      </c>
      <c r="Z55" s="891">
        <f>Y55*12</f>
        <v>72</v>
      </c>
      <c r="AA55" s="892" t="s">
        <v>12</v>
      </c>
      <c r="AB55" s="893" t="s">
        <v>12</v>
      </c>
      <c r="AC55" s="892">
        <f>Y55*4</f>
        <v>24</v>
      </c>
      <c r="AD55" s="893">
        <f>Y55*4</f>
        <v>24</v>
      </c>
      <c r="AE55" s="892" t="s">
        <v>12</v>
      </c>
      <c r="AF55" s="894" t="s">
        <v>12</v>
      </c>
      <c r="AG55" s="756"/>
      <c r="AH55" s="268"/>
    </row>
    <row r="56" spans="2:34" hidden="1" x14ac:dyDescent="0.25">
      <c r="B56" s="268"/>
      <c r="C56" s="283" t="s">
        <v>310</v>
      </c>
      <c r="D56" s="283"/>
      <c r="E56" s="268"/>
      <c r="F56" s="268"/>
      <c r="G56" s="268"/>
      <c r="H56" s="282" t="str">
        <f>IF(OR(CODE($H$52)=100,CODE($H$52)=101),"JA","NEE")</f>
        <v>NEE</v>
      </c>
      <c r="I56" s="268"/>
      <c r="J56" s="268"/>
      <c r="K56" s="277"/>
      <c r="L56" s="268"/>
      <c r="M56" s="268"/>
      <c r="N56" s="310" t="s">
        <v>336</v>
      </c>
      <c r="O56" s="1406" t="str">
        <f ca="1">IF(N54="E1e",IF(AND(O53="GOED",O54="GOED",O55="GOED"),"JA",IF(AND(O53="GOED",O55="GOED"),"JA","NEE")))</f>
        <v>NEE</v>
      </c>
      <c r="P56" s="1406"/>
      <c r="Q56" s="1406"/>
      <c r="R56" s="268"/>
      <c r="S56" s="268"/>
      <c r="T56" s="1449"/>
      <c r="U56" s="884" t="s">
        <v>1240</v>
      </c>
      <c r="V56" s="884"/>
      <c r="W56" s="884"/>
      <c r="X56" s="885" t="s">
        <v>67</v>
      </c>
      <c r="Y56" s="860">
        <f>Y55*4</f>
        <v>24</v>
      </c>
      <c r="Z56" s="891" t="s">
        <v>12</v>
      </c>
      <c r="AA56" s="892" t="s">
        <v>12</v>
      </c>
      <c r="AB56" s="893" t="s">
        <v>12</v>
      </c>
      <c r="AC56" s="892" t="s">
        <v>12</v>
      </c>
      <c r="AD56" s="893" t="s">
        <v>12</v>
      </c>
      <c r="AE56" s="892" t="s">
        <v>12</v>
      </c>
      <c r="AF56" s="894" t="s">
        <v>12</v>
      </c>
      <c r="AG56" s="756"/>
      <c r="AH56" s="268"/>
    </row>
    <row r="57" spans="2:34" hidden="1" x14ac:dyDescent="0.25">
      <c r="B57" s="268"/>
      <c r="C57" s="283" t="s">
        <v>311</v>
      </c>
      <c r="D57" s="283"/>
      <c r="E57" s="268"/>
      <c r="F57" s="268"/>
      <c r="G57" s="268"/>
      <c r="H57" s="282" t="str">
        <f>IF(OR(CODE($H$52)=100,CODE($H$52)=101,CODE($H$52)=104,CODE($H$52)=105),"JA","NEE")</f>
        <v>JA</v>
      </c>
      <c r="I57" s="268"/>
      <c r="J57" s="268"/>
      <c r="K57" s="277"/>
      <c r="L57" s="268"/>
      <c r="M57" s="268"/>
      <c r="N57" s="268"/>
      <c r="O57" s="268"/>
      <c r="P57" s="268"/>
      <c r="Q57" s="268"/>
      <c r="R57" s="268"/>
      <c r="S57" s="268"/>
      <c r="T57" s="1449"/>
      <c r="U57" s="884" t="s">
        <v>1242</v>
      </c>
      <c r="V57" s="884"/>
      <c r="W57" s="884"/>
      <c r="X57" s="885" t="s">
        <v>67</v>
      </c>
      <c r="Y57" s="860">
        <f>Y55*6</f>
        <v>36</v>
      </c>
      <c r="Z57" s="891">
        <f>Y57*3+1</f>
        <v>109</v>
      </c>
      <c r="AA57" s="892">
        <f>Y57*2+1</f>
        <v>73</v>
      </c>
      <c r="AB57" s="893" t="s">
        <v>12</v>
      </c>
      <c r="AC57" s="892">
        <f>Y57*4+1</f>
        <v>145</v>
      </c>
      <c r="AD57" s="893">
        <f>Y57*2</f>
        <v>72</v>
      </c>
      <c r="AE57" s="892">
        <f>Y57</f>
        <v>36</v>
      </c>
      <c r="AF57" s="894" t="s">
        <v>12</v>
      </c>
      <c r="AG57" s="756"/>
      <c r="AH57" s="268"/>
    </row>
    <row r="58" spans="2:34" hidden="1" x14ac:dyDescent="0.25">
      <c r="B58" s="268"/>
      <c r="C58" s="283" t="s">
        <v>312</v>
      </c>
      <c r="D58" s="283"/>
      <c r="E58" s="268"/>
      <c r="F58" s="268"/>
      <c r="G58" s="268"/>
      <c r="H58" s="282" t="str">
        <f>IF(CODE($H$52)&lt;108,"JA","NEE")</f>
        <v>JA</v>
      </c>
      <c r="I58" s="268"/>
      <c r="J58" s="268"/>
      <c r="K58" s="277"/>
      <c r="L58" s="268"/>
      <c r="M58" s="268"/>
      <c r="N58" s="268"/>
      <c r="O58" s="268"/>
      <c r="P58" s="279"/>
      <c r="Q58" s="268"/>
      <c r="R58" s="268"/>
      <c r="S58" s="268"/>
      <c r="T58" s="1449"/>
      <c r="U58" s="884" t="s">
        <v>1243</v>
      </c>
      <c r="V58" s="884"/>
      <c r="W58" s="884"/>
      <c r="X58" s="885" t="s">
        <v>67</v>
      </c>
      <c r="Y58" s="860">
        <f>IF(Y55=6,15,16)</f>
        <v>15</v>
      </c>
      <c r="Z58" s="895">
        <f>Y58*7</f>
        <v>105</v>
      </c>
      <c r="AA58" s="896">
        <f>Y58*6</f>
        <v>90</v>
      </c>
      <c r="AB58" s="897">
        <f>Y58*5</f>
        <v>75</v>
      </c>
      <c r="AC58" s="896">
        <f>Y58*4</f>
        <v>60</v>
      </c>
      <c r="AD58" s="897">
        <f>Y58*4</f>
        <v>60</v>
      </c>
      <c r="AE58" s="896">
        <f>Y58*3</f>
        <v>45</v>
      </c>
      <c r="AF58" s="898">
        <f>Y58*2</f>
        <v>30</v>
      </c>
      <c r="AG58" s="756"/>
      <c r="AH58" s="268"/>
    </row>
    <row r="59" spans="2:34" hidden="1" x14ac:dyDescent="0.25">
      <c r="B59" s="268"/>
      <c r="C59" s="283" t="s">
        <v>100</v>
      </c>
      <c r="D59" s="283"/>
      <c r="E59" s="268"/>
      <c r="F59" s="268"/>
      <c r="G59" s="344" t="str">
        <f>RIGHT(O48,1)</f>
        <v>d</v>
      </c>
      <c r="H59" s="282" t="str">
        <f>IF(CODE($G$59)&lt;104,"JA","NEE")</f>
        <v>JA</v>
      </c>
      <c r="I59" s="268"/>
      <c r="J59" s="284" t="s">
        <v>408</v>
      </c>
      <c r="K59" s="277"/>
      <c r="L59" s="268"/>
      <c r="M59" s="268"/>
      <c r="N59" s="282" t="str">
        <f>IF(H59="JA","B1e","n.v.t.")</f>
        <v>B1e</v>
      </c>
      <c r="O59" s="1405" t="str">
        <f>IF(N59="B1e",Bonusvragen!T84,"n.v.t.")</f>
        <v>FOUT</v>
      </c>
      <c r="P59" s="1405"/>
      <c r="Q59" s="1405"/>
      <c r="R59" s="268"/>
      <c r="S59" s="268"/>
      <c r="T59" s="1449"/>
      <c r="U59" s="756"/>
      <c r="V59" s="756"/>
      <c r="W59" s="756"/>
      <c r="X59" s="756"/>
      <c r="Y59" s="756"/>
      <c r="Z59" s="756"/>
      <c r="AA59" s="756"/>
      <c r="AB59" s="756"/>
      <c r="AC59" s="756"/>
      <c r="AD59" s="756"/>
      <c r="AE59" s="756"/>
      <c r="AF59" s="756"/>
      <c r="AG59" s="756"/>
      <c r="AH59" s="268"/>
    </row>
    <row r="60" spans="2:34" hidden="1" x14ac:dyDescent="0.25">
      <c r="B60" s="268"/>
      <c r="C60" s="268"/>
      <c r="D60" s="268"/>
      <c r="E60" s="268"/>
      <c r="F60" s="268"/>
      <c r="G60" s="268"/>
      <c r="H60" s="280"/>
      <c r="I60" s="268"/>
      <c r="J60" s="268"/>
      <c r="K60" s="277"/>
      <c r="L60" s="268"/>
      <c r="M60" s="268"/>
      <c r="N60" s="268"/>
      <c r="O60" s="268"/>
      <c r="P60" s="280"/>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22"/>
      <c r="C61" s="322"/>
      <c r="D61" s="322"/>
      <c r="E61" s="322"/>
      <c r="F61" s="322"/>
      <c r="G61" s="322"/>
      <c r="H61" s="322"/>
      <c r="I61" s="322"/>
      <c r="J61" s="322"/>
      <c r="K61" s="322"/>
      <c r="L61" s="322"/>
      <c r="M61" s="322"/>
      <c r="N61" s="322"/>
      <c r="O61" s="73"/>
      <c r="P61" s="322"/>
      <c r="Q61" s="322"/>
      <c r="R61" s="322"/>
      <c r="S61" s="322"/>
      <c r="T61" s="323" t="s">
        <v>359</v>
      </c>
      <c r="U61" s="322"/>
      <c r="V61" s="322"/>
      <c r="W61" s="322"/>
      <c r="X61" s="322"/>
      <c r="Y61" s="322"/>
      <c r="Z61" s="322"/>
      <c r="AA61" s="322"/>
      <c r="AB61" s="322"/>
      <c r="AC61" s="322"/>
      <c r="AD61" s="323" t="s">
        <v>546</v>
      </c>
      <c r="AE61" s="322"/>
      <c r="AF61" s="322"/>
      <c r="AG61" s="322"/>
      <c r="AH61" s="322"/>
    </row>
    <row r="62" spans="2:34" hidden="1" x14ac:dyDescent="0.25">
      <c r="B62" s="322"/>
      <c r="C62" s="322"/>
      <c r="D62" s="322"/>
      <c r="E62" s="322"/>
      <c r="F62" s="322"/>
      <c r="G62" s="322"/>
      <c r="H62" s="322"/>
      <c r="I62" s="322"/>
      <c r="J62" s="322"/>
      <c r="K62" s="322"/>
      <c r="L62" s="322"/>
      <c r="M62" s="322"/>
      <c r="N62" s="322"/>
      <c r="O62" s="73"/>
      <c r="P62" s="322"/>
      <c r="Q62" s="322"/>
      <c r="R62" s="322"/>
      <c r="S62" s="324" t="s">
        <v>360</v>
      </c>
      <c r="T62" s="322" t="str">
        <f>IF($N$53="G1e",#REF!,IF($N$53="G2e",Groepswedstrijden!AA6,0))</f>
        <v>|0#</v>
      </c>
      <c r="U62" s="322"/>
      <c r="V62" s="322"/>
      <c r="W62" s="322"/>
      <c r="X62" s="322"/>
      <c r="Y62" s="322"/>
      <c r="Z62" s="325">
        <f>B63</f>
        <v>10</v>
      </c>
      <c r="AA62" s="322"/>
      <c r="AB62" s="322"/>
      <c r="AC62" s="324" t="s">
        <v>547</v>
      </c>
      <c r="AD62" s="322" t="str">
        <f>IF($N$53="G1e",#REF!,IF($N$53="G2e",Groepswedstrijden!AA88,0))</f>
        <v>|0#</v>
      </c>
      <c r="AE62" s="322"/>
      <c r="AF62" s="322"/>
      <c r="AG62" s="322"/>
      <c r="AH62" s="322"/>
    </row>
    <row r="63" spans="2:34" hidden="1" x14ac:dyDescent="0.25">
      <c r="B63" s="1438">
        <v>10</v>
      </c>
      <c r="C63" s="1438"/>
      <c r="D63" s="321" t="str">
        <f ca="1">Taal04!$B$162&amp;":"</f>
        <v>Gegevens Deelnemer:</v>
      </c>
      <c r="E63" s="322"/>
      <c r="F63" s="322"/>
      <c r="G63" s="322"/>
      <c r="H63" s="322"/>
      <c r="I63" s="322"/>
      <c r="J63" s="322"/>
      <c r="K63" s="322"/>
      <c r="L63" s="322"/>
      <c r="M63" s="322"/>
      <c r="N63" s="322"/>
      <c r="O63" s="73"/>
      <c r="P63" s="322"/>
      <c r="Q63" s="322"/>
      <c r="R63" s="322"/>
      <c r="S63" s="324" t="s">
        <v>361</v>
      </c>
      <c r="T63" s="77" t="str">
        <f>IF($N$53="G1e",#REF!,IF($N$53="G2e",Groepswedstrijden!AA7,0))</f>
        <v>LEEG</v>
      </c>
      <c r="U63" s="322"/>
      <c r="V63" s="322"/>
      <c r="W63" s="322"/>
      <c r="X63" s="322"/>
      <c r="Y63" s="322"/>
      <c r="Z63" s="325">
        <f>IF(AND(T66="GOED",AD66="GOED"),13,IF(AND(T66="GOED",AD66="LEEG",AD69="NEE"),13,IF(OR(T66="LEEG",AD66="LEEG"),11.1,12.1)))</f>
        <v>11.1</v>
      </c>
      <c r="AA63" s="322"/>
      <c r="AB63" s="322"/>
      <c r="AC63" s="324" t="s">
        <v>361</v>
      </c>
      <c r="AD63" s="77" t="str">
        <f>IF($N$53="G1e",#REF!,IF($N$53="G2e",Groepswedstrijden!AA89,0))</f>
        <v>LEEG</v>
      </c>
      <c r="AE63" s="322"/>
      <c r="AF63" s="322"/>
      <c r="AG63" s="322"/>
      <c r="AH63" s="322"/>
    </row>
    <row r="64" spans="2:34" hidden="1" x14ac:dyDescent="0.25">
      <c r="B64" s="1441">
        <v>11.1</v>
      </c>
      <c r="C64" s="1441"/>
      <c r="D64" s="859" t="str">
        <f ca="1">IF(AND($AD$68="JA",$AD$69="JA"),IF(AND($AF$68="LEEG",$AF$69="LEEG"),AB76,IF($AF$68="LEEG",AB72,AB74)),AB72)</f>
        <v>Het generen van de naamcode incluslief e-mailadres is niet mogelijk in verband met het ontbreken van</v>
      </c>
      <c r="E64" s="322"/>
      <c r="F64" s="322"/>
      <c r="G64" s="322"/>
      <c r="H64" s="322"/>
      <c r="I64" s="322"/>
      <c r="J64" s="322"/>
      <c r="K64" s="322"/>
      <c r="L64" s="322"/>
      <c r="M64" s="322"/>
      <c r="N64" s="322"/>
      <c r="O64" s="73"/>
      <c r="P64" s="322"/>
      <c r="Q64" s="322"/>
      <c r="R64" s="322"/>
      <c r="S64" s="324" t="s">
        <v>363</v>
      </c>
      <c r="T64" s="77" t="str">
        <f>IF(CODE(RIGHT(T62,1))=35,LEFT(RIGHT(T62,2),1),RIGHT(T62,2))</f>
        <v>0</v>
      </c>
      <c r="U64" s="322"/>
      <c r="V64" s="322"/>
      <c r="W64" s="322"/>
      <c r="X64" s="322"/>
      <c r="Y64" s="322"/>
      <c r="Z64" s="322">
        <f>IF(Z63-FLOOR(Z63,1)&gt;0,Z63+0.1,"")</f>
        <v>11.2</v>
      </c>
      <c r="AA64" s="322"/>
      <c r="AB64" s="322"/>
      <c r="AC64" s="324" t="s">
        <v>548</v>
      </c>
      <c r="AD64" s="77" t="str">
        <f>IF(CODE(RIGHT(AD62,1))=35,LEFT(RIGHT(AD62,2),1),RIGHT(AD62,2))</f>
        <v>0</v>
      </c>
      <c r="AE64" s="322"/>
      <c r="AF64" s="322"/>
      <c r="AG64" s="322"/>
      <c r="AH64" s="322"/>
    </row>
    <row r="65" spans="2:34" hidden="1" x14ac:dyDescent="0.25">
      <c r="B65" s="1441">
        <v>11.2</v>
      </c>
      <c r="C65" s="1441"/>
      <c r="D65" s="859" t="str">
        <f ca="1">IF(AND($AD$68="JA",$AD$69="JA"),IF(AND($AF$68="LEEG",$AF$69="LEEG"),AB77,IF($AF$68="LEEG",AB73,AB75)),AB73)</f>
        <v>gegevens. Voer uw naam en e-mailadres in bovenaan het werkblad "Groepswedstrijden".</v>
      </c>
      <c r="E65" s="322"/>
      <c r="F65" s="322"/>
      <c r="G65" s="322"/>
      <c r="H65" s="322"/>
      <c r="I65" s="322"/>
      <c r="J65" s="322"/>
      <c r="K65" s="322"/>
      <c r="L65" s="322"/>
      <c r="M65" s="322"/>
      <c r="N65" s="322"/>
      <c r="O65" s="73"/>
      <c r="P65" s="322"/>
      <c r="Q65" s="322"/>
      <c r="R65" s="322"/>
      <c r="S65" s="324" t="s">
        <v>364</v>
      </c>
      <c r="T65" s="77" t="str">
        <f>IF(T64*1=0,"LEEG",IF(T64*1&gt;32,"LANG",IF(LEN(T62)=T64*1+3,"GOED","FOUT")))</f>
        <v>LEEG</v>
      </c>
      <c r="U65" s="343" t="str">
        <f>T64+3&amp;" = goed / 0 = leeg"</f>
        <v>3 = goed / 0 = leeg</v>
      </c>
      <c r="V65" s="322"/>
      <c r="W65" s="322"/>
      <c r="X65" s="322"/>
      <c r="Y65" s="322"/>
      <c r="Z65" s="322"/>
      <c r="AA65" s="322"/>
      <c r="AB65" s="322"/>
      <c r="AC65" s="324" t="s">
        <v>364</v>
      </c>
      <c r="AD65" s="77" t="str">
        <f>IF(AD64*1=0,"LEEG",IF(AD64*1&gt;64,"LANG",IF(LEN(AD62)=AD64*1+3,"GOED","FOUT")))</f>
        <v>LEEG</v>
      </c>
      <c r="AE65" s="343" t="str">
        <f>AD64+3&amp;" = goed / 0 = leeg"</f>
        <v>3 = goed / 0 = leeg</v>
      </c>
      <c r="AF65" s="322"/>
      <c r="AG65" s="322"/>
      <c r="AH65" s="322"/>
    </row>
    <row r="66" spans="2:34" hidden="1" x14ac:dyDescent="0.25">
      <c r="B66" s="1441">
        <v>12.1</v>
      </c>
      <c r="C66" s="1441"/>
      <c r="D66" s="859" t="str">
        <f ca="1">IF(AND($AF$68="FOUT",$AF$69="FOUT"),AB84,IF($AF$68="FOUT",AB80,AB82))</f>
        <v>Bij het genereren van de naamcode is er een fout geconstateerd. Controleer uw e-mailadres bovenaan het</v>
      </c>
      <c r="E66" s="322"/>
      <c r="F66" s="322"/>
      <c r="G66" s="322"/>
      <c r="H66" s="322"/>
      <c r="I66" s="322"/>
      <c r="J66" s="322"/>
      <c r="K66" s="322"/>
      <c r="L66" s="322"/>
      <c r="M66" s="322"/>
      <c r="N66" s="322"/>
      <c r="O66" s="73"/>
      <c r="P66" s="322"/>
      <c r="Q66" s="322"/>
      <c r="R66" s="322"/>
      <c r="S66" s="324" t="s">
        <v>365</v>
      </c>
      <c r="T66" s="77" t="str">
        <f>IF(AND(T63="GOED",T65="GOED"),"GOED",IF(AND(T63="LEEG",T65="LEEG"),"LEEG","FOUT"))</f>
        <v>LEEG</v>
      </c>
      <c r="U66" s="322"/>
      <c r="V66" s="322"/>
      <c r="W66" s="322"/>
      <c r="X66" s="322"/>
      <c r="Y66" s="322"/>
      <c r="Z66" s="322"/>
      <c r="AA66" s="322"/>
      <c r="AB66" s="322"/>
      <c r="AC66" s="324" t="s">
        <v>365</v>
      </c>
      <c r="AD66" s="77" t="str">
        <f>IF(AND(AD63="GOED",AD65="GOED"),"GOED",IF(AND(OR(AD63="LEEG",AD63="OPTIE"),AD65="LEEG"),"LEEG","FOUT"))</f>
        <v>LEEG</v>
      </c>
      <c r="AE66" s="322"/>
      <c r="AF66" s="322"/>
      <c r="AG66" s="322"/>
      <c r="AH66" s="322"/>
    </row>
    <row r="67" spans="2:34" hidden="1" x14ac:dyDescent="0.25">
      <c r="B67" s="1441">
        <v>12.2</v>
      </c>
      <c r="C67" s="1441"/>
      <c r="D67" s="859" t="str">
        <f ca="1">IF(AND($AF$68="FOUT",$AF$69="FOUT"),AB85,IF($AF$68="FOUT",AB81,AB83))</f>
        <v>werkblad "Groepswedstrijden".</v>
      </c>
      <c r="E67" s="322"/>
      <c r="F67" s="322"/>
      <c r="G67" s="322"/>
      <c r="H67" s="322"/>
      <c r="I67" s="322"/>
      <c r="J67" s="322"/>
      <c r="K67" s="322"/>
      <c r="L67" s="322"/>
      <c r="M67" s="322"/>
      <c r="N67" s="322"/>
      <c r="O67" s="73"/>
      <c r="P67" s="326"/>
      <c r="Q67" s="326"/>
      <c r="R67" s="326"/>
      <c r="S67" s="327"/>
      <c r="T67" s="326"/>
      <c r="U67" s="326"/>
      <c r="V67" s="326"/>
      <c r="W67" s="326"/>
      <c r="X67" s="326"/>
      <c r="Y67" s="326"/>
      <c r="Z67" s="328">
        <f>B116</f>
        <v>99.9</v>
      </c>
      <c r="AA67" s="73"/>
      <c r="AB67" s="73"/>
      <c r="AC67" s="73"/>
      <c r="AD67" s="73"/>
      <c r="AE67" s="73"/>
      <c r="AF67" s="73"/>
      <c r="AG67" s="73"/>
      <c r="AH67" s="73"/>
    </row>
    <row r="68" spans="2:34" hidden="1" x14ac:dyDescent="0.25">
      <c r="B68" s="1441">
        <v>13</v>
      </c>
      <c r="C68" s="1441"/>
      <c r="D68" s="859" t="str">
        <f ca="1">IF(AND($AF$68="GOED",$AF$69="GOED"),AB89,AB88)</f>
        <v>De naamcode is zonder foutmeldingen gegenereerd.</v>
      </c>
      <c r="E68" s="322"/>
      <c r="F68" s="322"/>
      <c r="G68" s="322"/>
      <c r="H68" s="322"/>
      <c r="I68" s="322"/>
      <c r="J68" s="322"/>
      <c r="K68" s="322"/>
      <c r="L68" s="322"/>
      <c r="M68" s="322"/>
      <c r="N68" s="322"/>
      <c r="O68" s="1447" t="s">
        <v>533</v>
      </c>
      <c r="P68" s="322"/>
      <c r="Q68" s="322"/>
      <c r="R68" s="322"/>
      <c r="S68" s="322"/>
      <c r="T68" s="323" t="s">
        <v>367</v>
      </c>
      <c r="U68" s="322"/>
      <c r="V68" s="322"/>
      <c r="W68" s="322"/>
      <c r="X68" s="322"/>
      <c r="Y68" s="322"/>
      <c r="Z68" s="322"/>
      <c r="AA68" s="73"/>
      <c r="AB68" s="322"/>
      <c r="AC68" s="324" t="s">
        <v>549</v>
      </c>
      <c r="AD68" s="321" t="s">
        <v>63</v>
      </c>
      <c r="AE68" s="556" t="s">
        <v>412</v>
      </c>
      <c r="AF68" s="322" t="str">
        <f>T66</f>
        <v>LEEG</v>
      </c>
      <c r="AG68" s="554"/>
      <c r="AH68" s="554"/>
    </row>
    <row r="69" spans="2:34" hidden="1" x14ac:dyDescent="0.25">
      <c r="B69" s="1455"/>
      <c r="C69" s="1455"/>
      <c r="D69" s="554"/>
      <c r="E69" s="322"/>
      <c r="F69" s="322"/>
      <c r="G69" s="322"/>
      <c r="H69" s="322"/>
      <c r="I69" s="322"/>
      <c r="J69" s="322"/>
      <c r="K69" s="322"/>
      <c r="L69" s="322"/>
      <c r="M69" s="322"/>
      <c r="N69" s="322"/>
      <c r="O69" s="1447"/>
      <c r="P69" s="322"/>
      <c r="Q69" s="322"/>
      <c r="R69" s="322"/>
      <c r="S69" s="324" t="s">
        <v>369</v>
      </c>
      <c r="T69" s="322" t="str">
        <f ca="1">IF($N$53="G1e",#REF!,IF($N$53="G2e",Groepswedstrijden!Y11,0))</f>
        <v>|FOUTFOUTFOUTFOUTFOUTFOUTFOUTFOUTFOUTFOUTFOUTFOUTFOUTFOUTFOUTFOUTFOUTFOUTFOUTFOUTFOUTFOUTFOUTFOUTFOUTFOUTFOUTFOUTFOUTFOUTFOUTFOUTFOUTFOUTFOUTFOUT</v>
      </c>
      <c r="U69" s="322"/>
      <c r="V69" s="322"/>
      <c r="W69" s="322"/>
      <c r="X69" s="322"/>
      <c r="Y69" s="322"/>
      <c r="Z69" s="325">
        <v>20</v>
      </c>
      <c r="AA69" s="73"/>
      <c r="AB69" s="322"/>
      <c r="AC69" s="324" t="s">
        <v>542</v>
      </c>
      <c r="AD69" s="321" t="str">
        <f>IF(AND(Reglement!Q81=1,Reglement!H88="JA"),"JA","NEE")</f>
        <v>JA</v>
      </c>
      <c r="AE69" s="556" t="s">
        <v>412</v>
      </c>
      <c r="AF69" s="322" t="str">
        <f>IF(AND(AD69="NEE",AD66="LEEG"),"GOED",AD66)</f>
        <v>LEEG</v>
      </c>
      <c r="AG69" s="554"/>
      <c r="AH69" s="554"/>
    </row>
    <row r="70" spans="2:34" hidden="1" x14ac:dyDescent="0.25">
      <c r="B70" s="1438">
        <v>20</v>
      </c>
      <c r="C70" s="1438"/>
      <c r="D70" s="321" t="str">
        <f ca="1">Taal04!$B$178&amp;":"</f>
        <v>Voorspellingen Groepswedstrijden:</v>
      </c>
      <c r="E70" s="322"/>
      <c r="F70" s="322"/>
      <c r="G70" s="322"/>
      <c r="H70" s="322"/>
      <c r="I70" s="322"/>
      <c r="J70" s="322"/>
      <c r="K70" s="322"/>
      <c r="L70" s="322"/>
      <c r="M70" s="322"/>
      <c r="N70" s="322"/>
      <c r="O70" s="1447"/>
      <c r="P70" s="322"/>
      <c r="Q70" s="322"/>
      <c r="R70" s="322"/>
      <c r="S70" s="324" t="s">
        <v>361</v>
      </c>
      <c r="T70" s="77" t="str">
        <f ca="1">IF(LEN(T69)=LEN(SUBSTITUTE(T69,"FOUT","controleren")),"GOED","FOUT")</f>
        <v>FOUT</v>
      </c>
      <c r="U70" s="322"/>
      <c r="V70" s="322"/>
      <c r="W70" s="322"/>
      <c r="X70" s="322"/>
      <c r="Y70" s="322"/>
      <c r="Z70" s="325">
        <f ca="1">IF(T76="GOED",23,IF(T76="LEEG",21.1,IF(T76="FOUT",22.1,22.5)))</f>
        <v>21.1</v>
      </c>
      <c r="AA70" s="73"/>
      <c r="AB70" s="322"/>
      <c r="AC70" s="322"/>
      <c r="AD70" s="322"/>
      <c r="AE70" s="322"/>
      <c r="AF70" s="322"/>
      <c r="AG70" s="322"/>
      <c r="AH70" s="322"/>
    </row>
    <row r="71" spans="2:34" hidden="1" x14ac:dyDescent="0.25">
      <c r="B71" s="1437">
        <v>21.1</v>
      </c>
      <c r="C71" s="1437"/>
      <c r="D71" s="322" t="str">
        <f ca="1">Taal04!$B$179</f>
        <v>Het genereren van de deelnamecode voor de groepswedstrijden is niet mogelijk in verband met het ontbreken</v>
      </c>
      <c r="E71" s="322"/>
      <c r="F71" s="322"/>
      <c r="G71" s="322"/>
      <c r="H71" s="322"/>
      <c r="I71" s="322"/>
      <c r="J71" s="322"/>
      <c r="K71" s="322"/>
      <c r="L71" s="322"/>
      <c r="M71" s="322"/>
      <c r="N71" s="322"/>
      <c r="O71" s="1447"/>
      <c r="P71" s="322"/>
      <c r="Q71" s="322"/>
      <c r="R71" s="322"/>
      <c r="S71" s="324" t="s">
        <v>364</v>
      </c>
      <c r="T71" s="452" t="str">
        <f ca="1">IF($N$53="G1e",IF(LEN(T69)=$Z$57,"GOED",IF(LEN(T69)=$AC$57,"LEEG","FOUT")),IF($N$53="G2e",IF(LEN(T69)=$AA$57,"GOED",IF(LEN(T69)=$AC$57,"LEEG","FOUT")),"FOUT"))</f>
        <v>LEEG</v>
      </c>
      <c r="U71" s="453" t="str">
        <f>"G1e: "&amp;$Z$57&amp;" = goed / G2e: "&amp;$AA$57&amp;" = goed / "&amp;$AC$57&amp;" = leeg"</f>
        <v>G1e: 109 = goed / G2e: 73 = goed / 145 = leeg</v>
      </c>
      <c r="V71" s="322"/>
      <c r="W71" s="322"/>
      <c r="X71" s="322"/>
      <c r="Y71" s="322"/>
      <c r="Z71" s="322">
        <f ca="1">IF(Z70-FLOOR(Z70,1)&gt;0,Z70+0.1,"")</f>
        <v>21.200000000000003</v>
      </c>
      <c r="AA71" s="73"/>
      <c r="AB71" s="321" t="s">
        <v>571</v>
      </c>
      <c r="AC71" s="322"/>
      <c r="AD71" s="322"/>
      <c r="AE71" s="322"/>
      <c r="AF71" s="322"/>
      <c r="AG71" s="322"/>
      <c r="AH71" s="322"/>
    </row>
    <row r="72" spans="2:34" hidden="1" x14ac:dyDescent="0.25">
      <c r="B72" s="1437">
        <v>21.2</v>
      </c>
      <c r="C72" s="1437"/>
      <c r="D72" s="322" t="str">
        <f ca="1">Taal04!$B$180</f>
        <v>van gegevens. Controleer of alle velden zijn ingevuld op het werkblad "Groepswedstrijden".</v>
      </c>
      <c r="E72" s="322"/>
      <c r="F72" s="322"/>
      <c r="G72" s="322"/>
      <c r="H72" s="322"/>
      <c r="I72" s="322"/>
      <c r="J72" s="322"/>
      <c r="K72" s="322"/>
      <c r="L72" s="322"/>
      <c r="M72" s="322"/>
      <c r="N72" s="322"/>
      <c r="O72" s="1447"/>
      <c r="P72" s="322"/>
      <c r="Q72" s="322"/>
      <c r="R72" s="322"/>
      <c r="S72" s="324" t="s">
        <v>371</v>
      </c>
      <c r="T72" s="452">
        <f ca="1">IF($N$53="G1e",COUNTIF(#REF!,"LEEG"),IF($N$53="G2e",COUNTIF(Groepswedstrijden!Y25:AD60,"LEEG"),0))</f>
        <v>36</v>
      </c>
      <c r="U72" s="322"/>
      <c r="V72" s="322"/>
      <c r="W72" s="322"/>
      <c r="X72" s="322"/>
      <c r="Y72" s="322"/>
      <c r="Z72" s="322"/>
      <c r="AA72" s="73"/>
      <c r="AB72" s="555" t="str">
        <f ca="1">Taal04!$B$163</f>
        <v>Het generen van de naamcode is niet mogelijk in verband met het ontbreken van uw naam. Voer uw naam in</v>
      </c>
      <c r="AC72" s="322"/>
      <c r="AD72" s="322"/>
      <c r="AE72" s="322"/>
      <c r="AF72" s="322"/>
      <c r="AG72" s="322"/>
      <c r="AH72" s="322"/>
    </row>
    <row r="73" spans="2:34" hidden="1" x14ac:dyDescent="0.25">
      <c r="B73" s="1437">
        <v>22.1</v>
      </c>
      <c r="C73" s="1437"/>
      <c r="D73" s="322" t="str">
        <f ca="1">Taal04!$B$181</f>
        <v>Bij het genereren van de deelnamecode voor de groepswedstrijden is er een fout geconstateerd. Controleer uw</v>
      </c>
      <c r="E73" s="322"/>
      <c r="F73" s="322"/>
      <c r="G73" s="322"/>
      <c r="H73" s="322"/>
      <c r="I73" s="322"/>
      <c r="J73" s="322"/>
      <c r="K73" s="322"/>
      <c r="L73" s="322"/>
      <c r="M73" s="322"/>
      <c r="N73" s="322"/>
      <c r="O73" s="1447"/>
      <c r="P73" s="322"/>
      <c r="Q73" s="322"/>
      <c r="R73" s="322"/>
      <c r="S73" s="324" t="s">
        <v>373</v>
      </c>
      <c r="T73" s="452">
        <f ca="1">IF($N$53="G1e",COUNTIF(#REF!,"HOOG"),IF($N$53="G2e",COUNTIF(Groepswedstrijden!Y25:AD60,"HOOG"),0))</f>
        <v>0</v>
      </c>
      <c r="U73" s="322"/>
      <c r="V73" s="322"/>
      <c r="W73" s="322"/>
      <c r="X73" s="322"/>
      <c r="Y73" s="322"/>
      <c r="Z73" s="322"/>
      <c r="AA73" s="73"/>
      <c r="AB73" s="557" t="str">
        <f ca="1">Taal04!$B$164</f>
        <v>bovenaan het werkblad "Groepswedstrijden".</v>
      </c>
      <c r="AC73" s="322"/>
      <c r="AD73" s="322"/>
      <c r="AE73" s="322"/>
      <c r="AF73" s="322"/>
      <c r="AG73" s="322"/>
      <c r="AH73" s="322"/>
    </row>
    <row r="74" spans="2:34" hidden="1" x14ac:dyDescent="0.25">
      <c r="B74" s="1437">
        <v>22.2</v>
      </c>
      <c r="C74" s="1437"/>
      <c r="D74" s="322" t="str">
        <f ca="1">Taal04!$B$182</f>
        <v>invoer op het werkblad "Groepswedstrijden".</v>
      </c>
      <c r="E74" s="322"/>
      <c r="F74" s="322"/>
      <c r="G74" s="322"/>
      <c r="H74" s="322"/>
      <c r="I74" s="322"/>
      <c r="J74" s="322"/>
      <c r="K74" s="322"/>
      <c r="L74" s="322"/>
      <c r="M74" s="322"/>
      <c r="N74" s="322"/>
      <c r="O74" s="1447"/>
      <c r="P74" s="322"/>
      <c r="Q74" s="322"/>
      <c r="R74" s="322"/>
      <c r="S74" s="324" t="s">
        <v>374</v>
      </c>
      <c r="T74" s="452">
        <f ca="1">IF($N$53="G1e",COUNTIF(#REF!,"ONGELDIG"),IF($N$53="G2e",COUNTIF(Groepswedstrijden!Y25:AD60,"ONGELDIG"),0))</f>
        <v>0</v>
      </c>
      <c r="U74" s="322"/>
      <c r="V74" s="322"/>
      <c r="W74" s="322"/>
      <c r="X74" s="322"/>
      <c r="Y74" s="322"/>
      <c r="Z74" s="322"/>
      <c r="AA74" s="73"/>
      <c r="AB74" s="555" t="str">
        <f ca="1">Taal04!$B$165</f>
        <v>Het generen van de naamcode is niet mogelijk in verband met het ontbreken van uw e-mailadres. Voer uw</v>
      </c>
      <c r="AC74" s="322"/>
      <c r="AD74" s="322"/>
      <c r="AE74" s="322"/>
      <c r="AF74" s="322"/>
      <c r="AG74" s="322"/>
      <c r="AH74" s="322"/>
    </row>
    <row r="75" spans="2:34" hidden="1" x14ac:dyDescent="0.25">
      <c r="B75" s="1437">
        <v>22.5</v>
      </c>
      <c r="C75" s="1437"/>
      <c r="D75" s="322" t="str">
        <f ca="1">Taal04!$B$183</f>
        <v>Bij het genereren van de deelnamecode voor de groepswedstrijden zijn er fouten geconstateerd. Controleer uw</v>
      </c>
      <c r="E75" s="322"/>
      <c r="F75" s="322"/>
      <c r="G75" s="322"/>
      <c r="H75" s="322"/>
      <c r="I75" s="322"/>
      <c r="J75" s="322"/>
      <c r="K75" s="322"/>
      <c r="L75" s="322"/>
      <c r="M75" s="322"/>
      <c r="N75" s="322"/>
      <c r="O75" s="1447"/>
      <c r="P75" s="322"/>
      <c r="Q75" s="322"/>
      <c r="R75" s="322"/>
      <c r="S75" s="324" t="s">
        <v>375</v>
      </c>
      <c r="T75" s="452">
        <f ca="1">IF($N$53="G1e",COUNTIF(#REF!,"GOED"),IF($N$53="G2e",COUNTIF(Groepswedstrijden!Y25:AD60,"GOED"),0))</f>
        <v>0</v>
      </c>
      <c r="U75" s="453" t="str">
        <f>"G1e: "&amp;$AD$57&amp;" = goed / G2e: "&amp;$AE$57&amp;" = goed"</f>
        <v>G1e: 72 = goed / G2e: 36 = goed</v>
      </c>
      <c r="V75" s="322"/>
      <c r="W75" s="322"/>
      <c r="X75" s="322"/>
      <c r="Y75" s="322"/>
      <c r="Z75" s="322"/>
      <c r="AA75" s="73"/>
      <c r="AB75" s="557" t="str">
        <f ca="1">Taal04!$B$166</f>
        <v>e-mailadres in bovenaan het werkblad "Groepswedstrijden".</v>
      </c>
      <c r="AC75" s="322"/>
      <c r="AD75" s="322"/>
      <c r="AE75" s="322"/>
      <c r="AF75" s="322"/>
      <c r="AG75" s="322"/>
      <c r="AH75" s="322"/>
    </row>
    <row r="76" spans="2:34" hidden="1" x14ac:dyDescent="0.25">
      <c r="B76" s="1437">
        <v>22.6</v>
      </c>
      <c r="C76" s="1437"/>
      <c r="D76" s="322" t="str">
        <f ca="1">Taal04!$B$184</f>
        <v>invoer op het werkblad "Groepswedstrijden".</v>
      </c>
      <c r="E76" s="322"/>
      <c r="F76" s="322"/>
      <c r="G76" s="322"/>
      <c r="H76" s="322"/>
      <c r="I76" s="322"/>
      <c r="J76" s="322"/>
      <c r="K76" s="322"/>
      <c r="L76" s="322"/>
      <c r="M76" s="322"/>
      <c r="N76" s="322"/>
      <c r="O76" s="1447"/>
      <c r="P76" s="322"/>
      <c r="Q76" s="322"/>
      <c r="R76" s="322"/>
      <c r="S76" s="324" t="s">
        <v>365</v>
      </c>
      <c r="T76" s="452" t="str">
        <f ca="1">IF(AND(T70="GOED",T71="GOED",T72=0,T73=0,T74=0,IF($N$53="G1e",T75=$AD$57,IF($N$53="G2e",T75=$AE$57,0))),"GOED",IF(T72&gt;0,"LEEG",IF(T73+T74&lt;2,"FOUT","FOUTEN")))</f>
        <v>LEEG</v>
      </c>
      <c r="U76" s="322"/>
      <c r="V76" s="322"/>
      <c r="W76" s="322"/>
      <c r="X76" s="322"/>
      <c r="Y76" s="322"/>
      <c r="Z76" s="322"/>
      <c r="AA76" s="73"/>
      <c r="AB76" s="555" t="str">
        <f ca="1">Taal04!$B$167</f>
        <v>Het generen van de naamcode incluslief e-mailadres is niet mogelijk in verband met het ontbreken van</v>
      </c>
      <c r="AC76" s="322"/>
      <c r="AD76" s="322"/>
      <c r="AE76" s="322"/>
      <c r="AF76" s="322"/>
      <c r="AG76" s="322"/>
      <c r="AH76" s="322"/>
    </row>
    <row r="77" spans="2:34" hidden="1" x14ac:dyDescent="0.25">
      <c r="B77" s="1437">
        <v>23</v>
      </c>
      <c r="C77" s="1437"/>
      <c r="D77" s="322" t="str">
        <f ca="1">Taal04!$B$185</f>
        <v>De deelnamecode voor de groepswedstrijden is zonder foutmeldingen gegenereerd.</v>
      </c>
      <c r="E77" s="322"/>
      <c r="F77" s="322"/>
      <c r="G77" s="322"/>
      <c r="H77" s="322"/>
      <c r="I77" s="322"/>
      <c r="J77" s="322"/>
      <c r="K77" s="322"/>
      <c r="L77" s="322"/>
      <c r="M77" s="322"/>
      <c r="N77" s="322"/>
      <c r="O77" s="73"/>
      <c r="P77" s="326"/>
      <c r="Q77" s="326"/>
      <c r="R77" s="326"/>
      <c r="S77" s="327"/>
      <c r="T77" s="326"/>
      <c r="U77" s="326"/>
      <c r="V77" s="326"/>
      <c r="W77" s="326"/>
      <c r="X77" s="326"/>
      <c r="Y77" s="326"/>
      <c r="Z77" s="329">
        <f>Z67</f>
        <v>99.9</v>
      </c>
      <c r="AA77" s="73"/>
      <c r="AB77" s="557" t="str">
        <f ca="1">Taal04!$B$168</f>
        <v>gegevens. Voer uw naam en e-mailadres in bovenaan het werkblad "Groepswedstrijden".</v>
      </c>
      <c r="AC77" s="322"/>
      <c r="AD77" s="322"/>
      <c r="AE77" s="322"/>
      <c r="AF77" s="322"/>
      <c r="AG77" s="322"/>
      <c r="AH77" s="322"/>
    </row>
    <row r="78" spans="2:34" hidden="1" x14ac:dyDescent="0.25">
      <c r="B78" s="1438">
        <v>25</v>
      </c>
      <c r="C78" s="1438"/>
      <c r="D78" s="321" t="str">
        <f ca="1">Taal04!$B$187&amp;":"</f>
        <v>Voorspellingen Eindstand in de Groep:</v>
      </c>
      <c r="E78" s="322"/>
      <c r="F78" s="322"/>
      <c r="G78" s="322"/>
      <c r="H78" s="322"/>
      <c r="I78" s="322"/>
      <c r="J78" s="322"/>
      <c r="K78" s="322"/>
      <c r="L78" s="322"/>
      <c r="M78" s="322"/>
      <c r="N78" s="322"/>
      <c r="O78" s="1447" t="s">
        <v>533</v>
      </c>
      <c r="P78" s="322"/>
      <c r="Q78" s="322"/>
      <c r="R78" s="322"/>
      <c r="S78" s="322"/>
      <c r="T78" s="323" t="s">
        <v>376</v>
      </c>
      <c r="U78" s="322"/>
      <c r="V78" s="322"/>
      <c r="W78" s="322"/>
      <c r="X78" s="322"/>
      <c r="Y78" s="322"/>
      <c r="Z78" s="322"/>
      <c r="AA78" s="73"/>
      <c r="AB78" s="322"/>
      <c r="AC78" s="322"/>
      <c r="AD78" s="322"/>
      <c r="AE78" s="322"/>
      <c r="AF78" s="322"/>
      <c r="AG78" s="322"/>
      <c r="AH78" s="322"/>
    </row>
    <row r="79" spans="2:34" hidden="1" x14ac:dyDescent="0.25">
      <c r="B79" s="1437">
        <v>26.1</v>
      </c>
      <c r="C79" s="1437"/>
      <c r="D79" s="322" t="str">
        <f ca="1">Taal04!$B$188</f>
        <v>Het genereren van de deelnamecode voor de eindstand in de groep is niet mogelijk in verband met het</v>
      </c>
      <c r="E79" s="322"/>
      <c r="F79" s="322"/>
      <c r="G79" s="322"/>
      <c r="H79" s="322"/>
      <c r="I79" s="322"/>
      <c r="J79" s="322"/>
      <c r="K79" s="322"/>
      <c r="L79" s="322"/>
      <c r="M79" s="322"/>
      <c r="N79" s="322"/>
      <c r="O79" s="1447"/>
      <c r="P79" s="322"/>
      <c r="Q79" s="322"/>
      <c r="R79" s="322"/>
      <c r="S79" s="324" t="s">
        <v>377</v>
      </c>
      <c r="T79" s="330" t="str">
        <f>IF($N$54="E1e",'Eindstand Groep'!X57,0)</f>
        <v>FOUTFOUTFOUTFOUTFOUTFOUT</v>
      </c>
      <c r="U79" s="322"/>
      <c r="V79" s="322"/>
      <c r="W79" s="322"/>
      <c r="X79" s="322"/>
      <c r="Y79" s="322"/>
      <c r="Z79" s="325">
        <f>IF(T86="NVT","",25)</f>
        <v>25</v>
      </c>
      <c r="AA79" s="73"/>
      <c r="AB79" s="321" t="s">
        <v>572</v>
      </c>
      <c r="AC79" s="322"/>
      <c r="AD79" s="322"/>
      <c r="AE79" s="322"/>
      <c r="AF79" s="322"/>
      <c r="AG79" s="322"/>
      <c r="AH79" s="322"/>
    </row>
    <row r="80" spans="2:34" hidden="1" x14ac:dyDescent="0.25">
      <c r="B80" s="1437">
        <v>26.2</v>
      </c>
      <c r="C80" s="1437"/>
      <c r="D80" s="322" t="str">
        <f ca="1">Taal04!$B$189</f>
        <v>ontbreken van gegevens. Controleer of alle velden zijn ingevuld op het werkblad "Eindstand Groep".</v>
      </c>
      <c r="E80" s="322"/>
      <c r="F80" s="322"/>
      <c r="G80" s="322"/>
      <c r="H80" s="322"/>
      <c r="I80" s="322"/>
      <c r="J80" s="322"/>
      <c r="K80" s="322"/>
      <c r="L80" s="322"/>
      <c r="M80" s="322"/>
      <c r="N80" s="322"/>
      <c r="O80" s="1447"/>
      <c r="P80" s="322"/>
      <c r="Q80" s="322"/>
      <c r="R80" s="322"/>
      <c r="S80" s="324" t="s">
        <v>361</v>
      </c>
      <c r="T80" s="77" t="str">
        <f>IF(LEN(T79)=LEN(SUBSTITUTE(T79,"FOUT","controleren"))/2+LEN(SUBSTITUTE(T79,"ONGELDIG","controleren"))/2,"GOED","FOUT")</f>
        <v>FOUT</v>
      </c>
      <c r="U80" s="322"/>
      <c r="V80" s="322"/>
      <c r="W80" s="322"/>
      <c r="X80" s="322"/>
      <c r="Y80" s="322"/>
      <c r="Z80" s="325">
        <f>IF(T86="NVT","",IF(T86="GOED",28,IF(T86="LEEG",26.1,IF(T86="FOUT",27.1,27.5))))</f>
        <v>26.1</v>
      </c>
      <c r="AA80" s="73"/>
      <c r="AB80" s="555" t="str">
        <f ca="1">Taal04!$B$169</f>
        <v>Bij het genereren van de naamcode is er een fout geconstateerd. Controleer uw naam bovenaan het</v>
      </c>
      <c r="AC80" s="322"/>
      <c r="AD80" s="322"/>
      <c r="AE80" s="322"/>
      <c r="AF80" s="322"/>
      <c r="AG80" s="322"/>
      <c r="AH80" s="322"/>
    </row>
    <row r="81" spans="2:34" hidden="1" x14ac:dyDescent="0.25">
      <c r="B81" s="1437">
        <v>27.1</v>
      </c>
      <c r="C81" s="1437"/>
      <c r="D81" s="322" t="str">
        <f ca="1">Taal04!$B$190</f>
        <v>Bij het genereren van de deelnamecode voor de eindstand in de groep is er een fout geconstateerd.</v>
      </c>
      <c r="E81" s="322"/>
      <c r="F81" s="322"/>
      <c r="G81" s="322"/>
      <c r="H81" s="322"/>
      <c r="I81" s="322"/>
      <c r="J81" s="322"/>
      <c r="K81" s="322"/>
      <c r="L81" s="322"/>
      <c r="M81" s="322"/>
      <c r="N81" s="322"/>
      <c r="O81" s="1447"/>
      <c r="P81" s="322"/>
      <c r="Q81" s="322"/>
      <c r="R81" s="322"/>
      <c r="S81" s="324" t="s">
        <v>364</v>
      </c>
      <c r="T81" s="452" t="str">
        <f>IF(LEN(T79)=$Z$55,"GOED",IF(LEN(T79)=$AC$55,"LEEG","FOUT"))</f>
        <v>LEEG</v>
      </c>
      <c r="U81" s="453" t="str">
        <f>"E1e: "&amp;$Z$55&amp;" = goed / "&amp;$AD$55&amp;" = leeg"</f>
        <v>E1e: 72 = goed / 24 = leeg</v>
      </c>
      <c r="V81" s="322"/>
      <c r="W81" s="322"/>
      <c r="X81" s="322"/>
      <c r="Y81" s="322"/>
      <c r="Z81" s="322">
        <f>IF(T86="NVT","",IF(Z80-FLOOR(Z80,1)&gt;0,Z80+0.1,""))</f>
        <v>26.200000000000003</v>
      </c>
      <c r="AA81" s="73"/>
      <c r="AB81" s="557" t="str">
        <f ca="1">Taal04!$B$170</f>
        <v>werkblad "Groepswedstrijden".</v>
      </c>
      <c r="AC81" s="322"/>
      <c r="AD81" s="322"/>
      <c r="AE81" s="322"/>
      <c r="AF81" s="322"/>
      <c r="AG81" s="322"/>
      <c r="AH81" s="322"/>
    </row>
    <row r="82" spans="2:34" hidden="1" x14ac:dyDescent="0.25">
      <c r="B82" s="1437">
        <v>27.2</v>
      </c>
      <c r="C82" s="1437"/>
      <c r="D82" s="322" t="str">
        <f ca="1">Taal04!$B$191</f>
        <v>Controleer uw invoer op het werkblad "Eindstand Groep".</v>
      </c>
      <c r="E82" s="322"/>
      <c r="F82" s="322"/>
      <c r="G82" s="322"/>
      <c r="H82" s="322"/>
      <c r="I82" s="322"/>
      <c r="J82" s="322"/>
      <c r="K82" s="322"/>
      <c r="L82" s="322"/>
      <c r="M82" s="322"/>
      <c r="N82" s="322"/>
      <c r="O82" s="1447"/>
      <c r="P82" s="322"/>
      <c r="Q82" s="322"/>
      <c r="R82" s="322"/>
      <c r="S82" s="324" t="s">
        <v>371</v>
      </c>
      <c r="T82" s="452">
        <f>IF($N$54="E1e",COUNTIF('Eindstand Groep'!Y15:Z54,"LEEG"),0)</f>
        <v>24</v>
      </c>
      <c r="U82" s="322"/>
      <c r="V82" s="322"/>
      <c r="W82" s="322"/>
      <c r="X82" s="322"/>
      <c r="Y82" s="322"/>
      <c r="Z82" s="322"/>
      <c r="AA82" s="73"/>
      <c r="AB82" s="555" t="str">
        <f ca="1">Taal04!$B$171</f>
        <v>Bij het genereren van de naamcode is er een fout geconstateerd. Controleer uw e-mailadres bovenaan het</v>
      </c>
      <c r="AC82" s="322"/>
      <c r="AD82" s="322"/>
      <c r="AE82" s="322"/>
      <c r="AF82" s="322"/>
      <c r="AG82" s="322"/>
      <c r="AH82" s="322"/>
    </row>
    <row r="83" spans="2:34" hidden="1" x14ac:dyDescent="0.25">
      <c r="B83" s="1437">
        <v>27.5</v>
      </c>
      <c r="C83" s="1437"/>
      <c r="D83" s="322" t="str">
        <f ca="1">Taal04!$B$192</f>
        <v>Bij het genereren van de deelnamecode voor de eindstand in de groep zijn er fouten geconstateerd.</v>
      </c>
      <c r="E83" s="322"/>
      <c r="F83" s="322"/>
      <c r="G83" s="322"/>
      <c r="H83" s="322"/>
      <c r="I83" s="322"/>
      <c r="J83" s="322"/>
      <c r="K83" s="322"/>
      <c r="L83" s="322"/>
      <c r="M83" s="322"/>
      <c r="N83" s="322"/>
      <c r="O83" s="1447"/>
      <c r="P83" s="322"/>
      <c r="Q83" s="322"/>
      <c r="R83" s="322"/>
      <c r="S83" s="324" t="s">
        <v>378</v>
      </c>
      <c r="T83" s="452">
        <f>IF($N$54="E1e",COUNTIF('Eindstand Groep'!Y15:Z54,"DUBBEL"),0)</f>
        <v>0</v>
      </c>
      <c r="U83" s="322"/>
      <c r="V83" s="322"/>
      <c r="W83" s="322"/>
      <c r="X83" s="322"/>
      <c r="Y83" s="322"/>
      <c r="Z83" s="322"/>
      <c r="AA83" s="73"/>
      <c r="AB83" s="557" t="str">
        <f ca="1">Taal04!$B$172</f>
        <v>werkblad "Groepswedstrijden".</v>
      </c>
      <c r="AC83" s="322"/>
      <c r="AD83" s="322"/>
      <c r="AE83" s="322"/>
      <c r="AF83" s="322"/>
      <c r="AG83" s="322"/>
      <c r="AH83" s="322"/>
    </row>
    <row r="84" spans="2:34" hidden="1" x14ac:dyDescent="0.25">
      <c r="B84" s="1437">
        <v>27.6</v>
      </c>
      <c r="C84" s="1437"/>
      <c r="D84" s="322" t="str">
        <f ca="1">Taal04!$B$193</f>
        <v>Controleer uw invoer op het werkblad "Eindstand Groep".</v>
      </c>
      <c r="E84" s="322"/>
      <c r="F84" s="322"/>
      <c r="G84" s="322"/>
      <c r="H84" s="322"/>
      <c r="I84" s="322"/>
      <c r="J84" s="322"/>
      <c r="K84" s="322"/>
      <c r="L84" s="322"/>
      <c r="M84" s="322"/>
      <c r="N84" s="322"/>
      <c r="O84" s="1447"/>
      <c r="P84" s="322"/>
      <c r="Q84" s="322"/>
      <c r="R84" s="322"/>
      <c r="S84" s="324" t="s">
        <v>374</v>
      </c>
      <c r="T84" s="452">
        <f>IF($N$54="E1e",COUNTIF('Eindstand Groep'!Y15:Z54,"ONGELDIG"),0)</f>
        <v>0</v>
      </c>
      <c r="U84" s="322"/>
      <c r="V84" s="322"/>
      <c r="W84" s="322"/>
      <c r="X84" s="322"/>
      <c r="Y84" s="322"/>
      <c r="Z84" s="322"/>
      <c r="AA84" s="73"/>
      <c r="AB84" s="555" t="str">
        <f ca="1">Taal04!$B$173</f>
        <v>Bij het genereren van de naamcode met e-mailadres is er een fout geconstateerd. Controleer uw naam en</v>
      </c>
      <c r="AC84" s="322"/>
      <c r="AD84" s="322"/>
      <c r="AE84" s="322"/>
      <c r="AF84" s="322"/>
      <c r="AG84" s="322"/>
      <c r="AH84" s="322"/>
    </row>
    <row r="85" spans="2:34" hidden="1" x14ac:dyDescent="0.25">
      <c r="B85" s="1437">
        <v>28</v>
      </c>
      <c r="C85" s="1437"/>
      <c r="D85" s="322" t="str">
        <f ca="1">Taal04!$B$194</f>
        <v>De deelnamecode voor de eindstand in de groep is zonder foutmeldingen gegenereerd.</v>
      </c>
      <c r="E85" s="322"/>
      <c r="F85" s="322"/>
      <c r="G85" s="322"/>
      <c r="H85" s="322"/>
      <c r="I85" s="322"/>
      <c r="J85" s="322"/>
      <c r="K85" s="322"/>
      <c r="L85" s="322"/>
      <c r="M85" s="322"/>
      <c r="N85" s="322"/>
      <c r="O85" s="1447"/>
      <c r="P85" s="322"/>
      <c r="Q85" s="322"/>
      <c r="R85" s="322"/>
      <c r="S85" s="324" t="s">
        <v>375</v>
      </c>
      <c r="T85" s="452">
        <f>IF($N$54="E1e",COUNTIF('Eindstand Groep'!Y15:Z54,"GOED"),0)</f>
        <v>0</v>
      </c>
      <c r="U85" s="453" t="str">
        <f>"E1e: "&amp;$AD$55&amp;" = goed"</f>
        <v>E1e: 24 = goed</v>
      </c>
      <c r="V85" s="322"/>
      <c r="W85" s="322"/>
      <c r="X85" s="322"/>
      <c r="Y85" s="322"/>
      <c r="Z85" s="322"/>
      <c r="AA85" s="73"/>
      <c r="AB85" s="557" t="str">
        <f ca="1">Taal04!$B$174</f>
        <v>e-mailadres bovenaan het werkblad "Groepswedstrijden".</v>
      </c>
      <c r="AC85" s="322"/>
      <c r="AD85" s="322"/>
      <c r="AE85" s="322"/>
      <c r="AF85" s="322"/>
      <c r="AG85" s="322"/>
      <c r="AH85" s="322"/>
    </row>
    <row r="86" spans="2:34" hidden="1" x14ac:dyDescent="0.25">
      <c r="B86" s="1438">
        <v>30</v>
      </c>
      <c r="C86" s="1438"/>
      <c r="D86" s="321" t="str">
        <f ca="1">Taal04!$B$196&amp;":"</f>
        <v>Voorspellingen Finalewedstrijden:</v>
      </c>
      <c r="E86" s="322"/>
      <c r="F86" s="322"/>
      <c r="G86" s="322"/>
      <c r="H86" s="322"/>
      <c r="I86" s="322"/>
      <c r="J86" s="322"/>
      <c r="K86" s="322"/>
      <c r="L86" s="322"/>
      <c r="M86" s="322"/>
      <c r="N86" s="322"/>
      <c r="O86" s="1447"/>
      <c r="P86" s="322"/>
      <c r="Q86" s="322"/>
      <c r="R86" s="322"/>
      <c r="S86" s="324" t="s">
        <v>365</v>
      </c>
      <c r="T86" s="452" t="str">
        <f>IF($H$55= "JA",IF(AND(T80="GOED",T81="GOED",T82=0,T83=0,T84=0,T85=$AD$55),"GOED",IF(T82&gt;0,"LEEG",IF(T83+T84&lt;2,"FOUT","FOUTEN"))),"NVT")</f>
        <v>LEEG</v>
      </c>
      <c r="U86" s="322"/>
      <c r="V86" s="322"/>
      <c r="W86" s="322"/>
      <c r="X86" s="322"/>
      <c r="Y86" s="322"/>
      <c r="Z86" s="322"/>
      <c r="AA86" s="73"/>
      <c r="AB86" s="322"/>
      <c r="AC86" s="322"/>
      <c r="AD86" s="322"/>
      <c r="AE86" s="322"/>
      <c r="AF86" s="322"/>
      <c r="AG86" s="322"/>
      <c r="AH86" s="322"/>
    </row>
    <row r="87" spans="2:34" hidden="1" x14ac:dyDescent="0.25">
      <c r="B87" s="1437">
        <v>31.1</v>
      </c>
      <c r="C87" s="1437"/>
      <c r="D87" s="322" t="str">
        <f ca="1">Taal04!$B$197</f>
        <v>Het genereren van de deelnamecode voor de finalewedstrijden is niet mogelijk in verband met het ontbreken</v>
      </c>
      <c r="E87" s="322"/>
      <c r="F87" s="322"/>
      <c r="G87" s="322"/>
      <c r="H87" s="322"/>
      <c r="I87" s="322"/>
      <c r="J87" s="322"/>
      <c r="K87" s="322"/>
      <c r="L87" s="322"/>
      <c r="M87" s="322"/>
      <c r="N87" s="322"/>
      <c r="O87" s="73"/>
      <c r="P87" s="326"/>
      <c r="Q87" s="326"/>
      <c r="R87" s="326"/>
      <c r="S87" s="327"/>
      <c r="T87" s="326"/>
      <c r="U87" s="326"/>
      <c r="V87" s="326"/>
      <c r="W87" s="326"/>
      <c r="X87" s="326"/>
      <c r="Y87" s="326"/>
      <c r="Z87" s="329">
        <f>IF(T86="NVT","",Z67)</f>
        <v>99.9</v>
      </c>
      <c r="AA87" s="73"/>
      <c r="AB87" s="321" t="s">
        <v>573</v>
      </c>
      <c r="AC87" s="322"/>
      <c r="AD87" s="322"/>
      <c r="AE87" s="322"/>
      <c r="AF87" s="322"/>
      <c r="AG87" s="322"/>
      <c r="AH87" s="322"/>
    </row>
    <row r="88" spans="2:34" hidden="1" x14ac:dyDescent="0.25">
      <c r="B88" s="1437">
        <v>31.2</v>
      </c>
      <c r="C88" s="1437"/>
      <c r="D88" s="322" t="str">
        <f ca="1">Taal04!$B$198</f>
        <v>van gegevens. Controleer of alle velden zijn ingevuld op het werkblad "Finalewedstrijden".</v>
      </c>
      <c r="E88" s="322"/>
      <c r="F88" s="322"/>
      <c r="G88" s="322"/>
      <c r="H88" s="322"/>
      <c r="I88" s="322"/>
      <c r="J88" s="322"/>
      <c r="K88" s="322"/>
      <c r="L88" s="322"/>
      <c r="M88" s="322"/>
      <c r="N88" s="322"/>
      <c r="O88" s="1447" t="s">
        <v>533</v>
      </c>
      <c r="P88" s="322"/>
      <c r="Q88" s="322"/>
      <c r="R88" s="322"/>
      <c r="S88" s="322"/>
      <c r="T88" s="323" t="s">
        <v>381</v>
      </c>
      <c r="U88" s="322"/>
      <c r="V88" s="322"/>
      <c r="W88" s="322"/>
      <c r="X88" s="322"/>
      <c r="Y88" s="322"/>
      <c r="Z88" s="322"/>
      <c r="AA88" s="73"/>
      <c r="AB88" s="555" t="str">
        <f ca="1">Taal04!$B$175</f>
        <v>De naamcode is zonder foutmeldingen gegenereerd.</v>
      </c>
      <c r="AC88" s="322"/>
      <c r="AD88" s="322"/>
      <c r="AE88" s="322"/>
      <c r="AF88" s="322"/>
      <c r="AG88" s="322"/>
      <c r="AH88" s="322"/>
    </row>
    <row r="89" spans="2:34" hidden="1" x14ac:dyDescent="0.25">
      <c r="B89" s="1437">
        <v>32.1</v>
      </c>
      <c r="C89" s="1437"/>
      <c r="D89" s="322" t="str">
        <f ca="1">Taal04!$B$199</f>
        <v>Bij het genereren van de deelnamecode voor de finalewedstrijden is er een fout geconstateerd. Controleer uw</v>
      </c>
      <c r="E89" s="322"/>
      <c r="F89" s="322"/>
      <c r="G89" s="322"/>
      <c r="H89" s="322"/>
      <c r="I89" s="322"/>
      <c r="J89" s="322"/>
      <c r="K89" s="322"/>
      <c r="L89" s="322"/>
      <c r="M89" s="322"/>
      <c r="N89" s="322"/>
      <c r="O89" s="1447"/>
      <c r="P89" s="322"/>
      <c r="Q89" s="322"/>
      <c r="R89" s="322"/>
      <c r="S89" s="324" t="s">
        <v>383</v>
      </c>
      <c r="T89" s="322" t="str">
        <f>IF($N$55="F1e",#REF!,IF($N$55="F2e",Finalewedstrijden!AN71,IF($N$55="F3e",#REF!,0)))</f>
        <v>FOUTFOUTFOUTFOUTFOUTFOUTFOUTFOUTFOUTFOUTFOUTFOUTFOUTFOUTFOUT</v>
      </c>
      <c r="U89" s="322"/>
      <c r="V89" s="322"/>
      <c r="W89" s="322"/>
      <c r="X89" s="322"/>
      <c r="Y89" s="322"/>
      <c r="Z89" s="325">
        <v>30</v>
      </c>
      <c r="AA89" s="73"/>
      <c r="AB89" s="555" t="str">
        <f ca="1">Taal04!$B$176</f>
        <v>De naamcode inclusief e-mailadres is zonder foutmeldingen gegenereerd.</v>
      </c>
      <c r="AC89" s="322"/>
      <c r="AD89" s="322"/>
      <c r="AE89" s="322"/>
      <c r="AF89" s="322"/>
      <c r="AG89" s="322"/>
      <c r="AH89" s="322"/>
    </row>
    <row r="90" spans="2:34" hidden="1" x14ac:dyDescent="0.25">
      <c r="B90" s="1437">
        <v>32.200000000000003</v>
      </c>
      <c r="C90" s="1437"/>
      <c r="D90" s="322" t="str">
        <f ca="1">Taal04!$B$200</f>
        <v>invoer op het werkblad "Finalewedstrijden".</v>
      </c>
      <c r="E90" s="322"/>
      <c r="F90" s="322"/>
      <c r="G90" s="322"/>
      <c r="H90" s="322"/>
      <c r="I90" s="322"/>
      <c r="J90" s="322"/>
      <c r="K90" s="322"/>
      <c r="L90" s="322"/>
      <c r="M90" s="322"/>
      <c r="N90" s="322"/>
      <c r="O90" s="1447"/>
      <c r="P90" s="322"/>
      <c r="Q90" s="322"/>
      <c r="R90" s="322"/>
      <c r="S90" s="324" t="s">
        <v>361</v>
      </c>
      <c r="T90" s="77" t="str">
        <f>IF(LEN(T89)=LEN(SUBSTITUTE(T89,"FOUT","ONGELDIG")),"GOED","FOUT")</f>
        <v>FOUT</v>
      </c>
      <c r="U90" s="322"/>
      <c r="V90" s="322"/>
      <c r="W90" s="322"/>
      <c r="X90" s="322"/>
      <c r="Y90" s="322"/>
      <c r="Z90" s="325">
        <f>IF(T96="GOED",33,IF(T96="LEEG",31.1,IF(T96="FOUT",32.1,32.5)))</f>
        <v>31.1</v>
      </c>
      <c r="AA90" s="73"/>
      <c r="AB90" s="73"/>
      <c r="AC90" s="73"/>
      <c r="AD90" s="73"/>
      <c r="AE90" s="73"/>
      <c r="AF90" s="73"/>
      <c r="AG90" s="73"/>
      <c r="AH90" s="73"/>
    </row>
    <row r="91" spans="2:34" hidden="1" x14ac:dyDescent="0.25">
      <c r="B91" s="1437">
        <v>32.5</v>
      </c>
      <c r="C91" s="1437"/>
      <c r="D91" s="322" t="str">
        <f ca="1">Taal04!$B$201</f>
        <v>Bij het genereren van de deelnamecode voor de finalewedstrijden zijn er fouten geconstateerd. Controleer uw</v>
      </c>
      <c r="E91" s="322"/>
      <c r="F91" s="322"/>
      <c r="G91" s="322"/>
      <c r="H91" s="322"/>
      <c r="I91" s="322"/>
      <c r="J91" s="322"/>
      <c r="K91" s="322"/>
      <c r="L91" s="322"/>
      <c r="M91" s="322"/>
      <c r="N91" s="322"/>
      <c r="O91" s="1447"/>
      <c r="P91" s="322"/>
      <c r="Q91" s="322"/>
      <c r="R91" s="322"/>
      <c r="S91" s="324" t="s">
        <v>364</v>
      </c>
      <c r="T91" s="452" t="str">
        <f>IF($N$55="F1e",IF(LEN(T89)=$Z$58,"GOED",IF(LEN(T89)=$AC$58,"LEEG","FOUT")),IF($N$55="F2e",IF(LEN(T89)=$AA$58,"GOED",IF(LEN(T89)=$AC$58,"LEEG","FOUT")),IF($N$55="F3e",IF(LEN(T89)=$AB$58,"GOED",IF(LEN(T89)=$AC$58,"LEEG","FOUT")),"FOUT")))</f>
        <v>LEEG</v>
      </c>
      <c r="U91" s="453" t="str">
        <f>"F1e: "&amp;$Z$58&amp;" = goed / F2e: "&amp;$AA$58&amp;" = goed / F3e: "&amp;$AB$58&amp;" = goed / "&amp;$AC$58&amp;" = leeg"</f>
        <v>F1e: 105 = goed / F2e: 90 = goed / F3e: 75 = goed / 60 = leeg</v>
      </c>
      <c r="V91" s="322"/>
      <c r="W91" s="322"/>
      <c r="X91" s="322"/>
      <c r="Y91" s="322"/>
      <c r="Z91" s="322">
        <f>IF(Z90-FLOOR(Z90,1)&gt;0,Z90+0.1,"")</f>
        <v>31.200000000000003</v>
      </c>
      <c r="AA91" s="73"/>
      <c r="AB91" s="73"/>
      <c r="AC91" s="73"/>
      <c r="AD91" s="73"/>
      <c r="AE91" s="73"/>
      <c r="AF91" s="73"/>
      <c r="AG91" s="73"/>
      <c r="AH91" s="73"/>
    </row>
    <row r="92" spans="2:34" hidden="1" x14ac:dyDescent="0.25">
      <c r="B92" s="1437">
        <v>32.6</v>
      </c>
      <c r="C92" s="1437"/>
      <c r="D92" s="322" t="str">
        <f ca="1">Taal04!$B$202</f>
        <v>invoer op het werkblad "Finalewedstrijden".</v>
      </c>
      <c r="E92" s="322"/>
      <c r="F92" s="322"/>
      <c r="G92" s="322"/>
      <c r="H92" s="322"/>
      <c r="I92" s="322"/>
      <c r="J92" s="322"/>
      <c r="K92" s="322"/>
      <c r="L92" s="322"/>
      <c r="M92" s="322"/>
      <c r="N92" s="322"/>
      <c r="O92" s="1447"/>
      <c r="P92" s="322"/>
      <c r="Q92" s="322"/>
      <c r="R92" s="322"/>
      <c r="S92" s="324" t="s">
        <v>371</v>
      </c>
      <c r="T92" s="452">
        <f>IF($N$55="F1e",COUNTIF(#REF!,"LEEG"),IF($N$55="F2e",COUNTIF(Finalewedstrijden!AK14:AO56,"LEEG"),IF($N$55="F3e",COUNTIF(#REF!,"LEEG"),0)))</f>
        <v>45</v>
      </c>
      <c r="U92" s="322"/>
      <c r="V92" s="322"/>
      <c r="W92" s="322"/>
      <c r="X92" s="322"/>
      <c r="Y92" s="322"/>
      <c r="Z92" s="322"/>
      <c r="AA92" s="73"/>
      <c r="AB92" s="73"/>
      <c r="AC92" s="73"/>
      <c r="AD92" s="73"/>
      <c r="AE92" s="73"/>
      <c r="AF92" s="73"/>
      <c r="AG92" s="73"/>
      <c r="AH92" s="73"/>
    </row>
    <row r="93" spans="2:34" hidden="1" x14ac:dyDescent="0.25">
      <c r="B93" s="1437">
        <v>33</v>
      </c>
      <c r="C93" s="1437"/>
      <c r="D93" s="322" t="str">
        <f ca="1">Taal04!$B$203</f>
        <v>De deelnamecode voor de finalewedstrijden is zonder foutmeldingen gegenereerd.</v>
      </c>
      <c r="E93" s="322"/>
      <c r="F93" s="322"/>
      <c r="G93" s="322"/>
      <c r="H93" s="322"/>
      <c r="I93" s="322"/>
      <c r="J93" s="322"/>
      <c r="K93" s="322"/>
      <c r="L93" s="322"/>
      <c r="M93" s="322"/>
      <c r="N93" s="322"/>
      <c r="O93" s="1447"/>
      <c r="P93" s="322"/>
      <c r="Q93" s="322"/>
      <c r="R93" s="322"/>
      <c r="S93" s="324" t="s">
        <v>373</v>
      </c>
      <c r="T93" s="454">
        <f>IF($N$55="F1e",COUNTIF(#REF!,"HOOG"),IF($N$55="F2e",COUNTIF(Finalewedstrijden!AK14:AO56,"HOOG"),IF($N$55="F3e",COUNTIF(#REF!,"HOOG"),0)))</f>
        <v>0</v>
      </c>
      <c r="U93" s="322"/>
      <c r="V93" s="322"/>
      <c r="W93" s="322"/>
      <c r="X93" s="322"/>
      <c r="Y93" s="322"/>
      <c r="Z93" s="322"/>
      <c r="AA93" s="73"/>
      <c r="AB93" s="73"/>
      <c r="AC93" s="73"/>
      <c r="AD93" s="73"/>
      <c r="AE93" s="73"/>
      <c r="AF93" s="73"/>
      <c r="AG93" s="73"/>
      <c r="AH93" s="73"/>
    </row>
    <row r="94" spans="2:34" hidden="1" x14ac:dyDescent="0.25">
      <c r="B94" s="1438">
        <v>40</v>
      </c>
      <c r="C94" s="1438"/>
      <c r="D94" s="321" t="str">
        <f ca="1">Taal04!$B$205&amp;":"</f>
        <v>Voorspelling Winnaar EURO 2024:</v>
      </c>
      <c r="E94" s="322"/>
      <c r="F94" s="322"/>
      <c r="G94" s="322"/>
      <c r="H94" s="322"/>
      <c r="I94" s="322"/>
      <c r="J94" s="322"/>
      <c r="K94" s="322"/>
      <c r="L94" s="322"/>
      <c r="M94" s="322"/>
      <c r="N94" s="322"/>
      <c r="O94" s="1447"/>
      <c r="P94" s="322"/>
      <c r="Q94" s="322"/>
      <c r="R94" s="322"/>
      <c r="S94" s="324" t="s">
        <v>374</v>
      </c>
      <c r="T94" s="454">
        <f>IF($N$55="F1e",COUNTIF(#REF!,"ONGELDIG"),IF($N$55="F2e",COUNTIF(Finalewedstrijden!AK14:AO56,"ONGELDIG"),IF($N$55="F3e",COUNTIF(#REF!,"ONGELDIG"),0)))-IF(Z94="A",0,W94)</f>
        <v>0</v>
      </c>
      <c r="U94" s="322"/>
      <c r="V94" s="324" t="s">
        <v>378</v>
      </c>
      <c r="W94" s="454">
        <f>IF(Z94="A",0,IF($N$55="F1e",COUNTIF(#REF!,"DUBBEL"),IF($N$55="F2e",COUNTIF(Finalewedstrijden!AH15:AJ57,"DUBBEL"),IF($N$55="F3e",COUNTIF(#REF!,"DUBBEL"),0))))</f>
        <v>0</v>
      </c>
      <c r="X94" s="322"/>
      <c r="Y94" s="324" t="s">
        <v>1287</v>
      </c>
      <c r="Z94" s="77" t="str">
        <f>Reglement!$G$130</f>
        <v>B</v>
      </c>
      <c r="AA94" s="73"/>
      <c r="AB94" s="73"/>
      <c r="AC94" s="73"/>
      <c r="AD94" s="73"/>
      <c r="AE94" s="73"/>
      <c r="AF94" s="73"/>
      <c r="AG94" s="73"/>
      <c r="AH94" s="73"/>
    </row>
    <row r="95" spans="2:34" hidden="1" x14ac:dyDescent="0.25">
      <c r="B95" s="1437">
        <v>41.1</v>
      </c>
      <c r="C95" s="1437"/>
      <c r="D95" s="322" t="str">
        <f ca="1">Taal04!$B$206</f>
        <v>Het genereren van de deelnamecode voor de winnaar van het EK is niet mogelijk in verband met het ontbreken</v>
      </c>
      <c r="E95" s="322"/>
      <c r="F95" s="322"/>
      <c r="G95" s="322"/>
      <c r="H95" s="322"/>
      <c r="I95" s="322"/>
      <c r="J95" s="322"/>
      <c r="K95" s="322"/>
      <c r="L95" s="322"/>
      <c r="M95" s="322"/>
      <c r="N95" s="322"/>
      <c r="O95" s="1447"/>
      <c r="P95" s="322"/>
      <c r="Q95" s="322"/>
      <c r="R95" s="322"/>
      <c r="S95" s="324" t="s">
        <v>375</v>
      </c>
      <c r="T95" s="454">
        <f>IF($N$55="F1e",COUNTIF(#REF!,"GOED"),IF($N$55="F2e",COUNTIF(Finalewedstrijden!AK14:AO56,"GOED"),IF($N$55="F3e",COUNTIF(#REF!,"GOED"),0)))</f>
        <v>0</v>
      </c>
      <c r="U95" s="453" t="str">
        <f>"F1e: "&amp;$AD$58&amp;" = goed / F2e: "&amp;$AE$58&amp;" = goed / F3e: "&amp;$AF$58&amp;" = goed"</f>
        <v>F1e: 60 = goed / F2e: 45 = goed / F3e: 30 = goed</v>
      </c>
      <c r="V95" s="322"/>
      <c r="W95" s="322"/>
      <c r="X95" s="322"/>
      <c r="Y95" s="322"/>
      <c r="Z95" s="322"/>
      <c r="AA95" s="73"/>
      <c r="AB95" s="73"/>
      <c r="AC95" s="73"/>
      <c r="AD95" s="73"/>
      <c r="AE95" s="73"/>
      <c r="AF95" s="73"/>
      <c r="AG95" s="73"/>
      <c r="AH95" s="73"/>
    </row>
    <row r="96" spans="2:34" hidden="1" x14ac:dyDescent="0.25">
      <c r="B96" s="1437">
        <v>41.2</v>
      </c>
      <c r="C96" s="1437"/>
      <c r="D96" s="322" t="str">
        <f ca="1">Taal04!$B$207</f>
        <v>van gegevens. Voorspel de winnaar van het EK op het werkblad "Finalewedstrijden".</v>
      </c>
      <c r="E96" s="322"/>
      <c r="F96" s="322"/>
      <c r="G96" s="322"/>
      <c r="H96" s="322"/>
      <c r="I96" s="322"/>
      <c r="J96" s="322"/>
      <c r="K96" s="322"/>
      <c r="L96" s="322"/>
      <c r="M96" s="322"/>
      <c r="N96" s="322"/>
      <c r="O96" s="1447"/>
      <c r="P96" s="322"/>
      <c r="Q96" s="322"/>
      <c r="R96" s="322"/>
      <c r="S96" s="324" t="s">
        <v>365</v>
      </c>
      <c r="T96" s="452" t="str">
        <f>IF(AND(T90="GOED",T91="GOED",T92=0,T93=0,T94=0,W94=0,IF($N$55="F1e",T95=$AD$58,IF($N$55="F2e",T95=$AE$58,IF($N$55="F3e",T95=$AF$58,0)))),"GOED",IF(T92&gt;0,"LEEG",IF(T93+T94+W94&lt;2,"FOUT","FOUTEN")))</f>
        <v>LEEG</v>
      </c>
      <c r="U96" s="322"/>
      <c r="V96" s="322"/>
      <c r="W96" s="322"/>
      <c r="X96" s="322"/>
      <c r="Y96" s="322"/>
      <c r="Z96" s="322"/>
      <c r="AA96" s="73"/>
      <c r="AB96" s="73"/>
      <c r="AC96" s="73"/>
      <c r="AD96" s="73"/>
      <c r="AE96" s="73"/>
      <c r="AF96" s="73"/>
      <c r="AG96" s="73"/>
      <c r="AH96" s="73"/>
    </row>
    <row r="97" spans="2:34" hidden="1" x14ac:dyDescent="0.25">
      <c r="B97" s="1437">
        <v>42.1</v>
      </c>
      <c r="C97" s="1437"/>
      <c r="D97" s="322" t="str">
        <f ca="1">Taal04!$B$208</f>
        <v>Bij het genereren van de deelnamecode voor de winnaar van het EK is er een fout geconstateerd. Controleer</v>
      </c>
      <c r="E97" s="322"/>
      <c r="F97" s="322"/>
      <c r="G97" s="322"/>
      <c r="H97" s="322"/>
      <c r="I97" s="322"/>
      <c r="J97" s="322"/>
      <c r="K97" s="322"/>
      <c r="L97" s="322"/>
      <c r="M97" s="322"/>
      <c r="N97" s="322"/>
      <c r="O97" s="73"/>
      <c r="P97" s="326"/>
      <c r="Q97" s="326"/>
      <c r="R97" s="326"/>
      <c r="S97" s="327"/>
      <c r="T97" s="326"/>
      <c r="U97" s="326"/>
      <c r="V97" s="326"/>
      <c r="W97" s="326"/>
      <c r="X97" s="326"/>
      <c r="Y97" s="326"/>
      <c r="Z97" s="329">
        <f>Z67</f>
        <v>99.9</v>
      </c>
      <c r="AA97" s="73"/>
      <c r="AB97" s="73"/>
      <c r="AC97" s="73"/>
      <c r="AD97" s="73"/>
      <c r="AE97" s="73"/>
      <c r="AF97" s="73"/>
      <c r="AG97" s="73"/>
      <c r="AH97" s="73"/>
    </row>
    <row r="98" spans="2:34" hidden="1" x14ac:dyDescent="0.25">
      <c r="B98" s="1437">
        <v>42.2</v>
      </c>
      <c r="C98" s="1437"/>
      <c r="D98" s="322" t="str">
        <f ca="1">Taal04!$B$209</f>
        <v>uw invoer op het werkblad "Finalewedstrijden".</v>
      </c>
      <c r="E98" s="322"/>
      <c r="F98" s="322"/>
      <c r="G98" s="322"/>
      <c r="H98" s="322"/>
      <c r="I98" s="322"/>
      <c r="J98" s="322"/>
      <c r="K98" s="322"/>
      <c r="L98" s="322"/>
      <c r="M98" s="322"/>
      <c r="N98" s="322"/>
      <c r="O98" s="73"/>
      <c r="P98" s="322"/>
      <c r="Q98" s="322"/>
      <c r="R98" s="322"/>
      <c r="S98" s="322"/>
      <c r="T98" s="323" t="s">
        <v>385</v>
      </c>
      <c r="U98" s="322"/>
      <c r="V98" s="322"/>
      <c r="W98" s="322"/>
      <c r="X98" s="322"/>
      <c r="Y98" s="322"/>
      <c r="Z98" s="322"/>
      <c r="AA98" s="73"/>
      <c r="AB98" s="73"/>
      <c r="AC98" s="73"/>
      <c r="AD98" s="73"/>
      <c r="AE98" s="73"/>
      <c r="AF98" s="73"/>
      <c r="AG98" s="73"/>
      <c r="AH98" s="73"/>
    </row>
    <row r="99" spans="2:34" hidden="1" x14ac:dyDescent="0.25">
      <c r="B99" s="1437">
        <v>43</v>
      </c>
      <c r="C99" s="1437"/>
      <c r="D99" s="322" t="str">
        <f ca="1">Taal04!$B$210</f>
        <v>De deelnamecode voor de winnaar van het EK is zonder foutmeldingen gegenereerd.</v>
      </c>
      <c r="E99" s="322"/>
      <c r="F99" s="322"/>
      <c r="G99" s="322"/>
      <c r="H99" s="322"/>
      <c r="I99" s="322"/>
      <c r="J99" s="322"/>
      <c r="K99" s="322"/>
      <c r="L99" s="322"/>
      <c r="M99" s="322"/>
      <c r="N99" s="322"/>
      <c r="O99" s="73"/>
      <c r="P99" s="322"/>
      <c r="Q99" s="322"/>
      <c r="R99" s="322"/>
      <c r="S99" s="324" t="s">
        <v>386</v>
      </c>
      <c r="T99" s="77" t="str">
        <f>IF($N$55="F1e",#REF!,IF($N$55="F2e",Finalewedstrijden!AO59,IF($N$55="F3e",#REF!,0)))</f>
        <v>FOUT</v>
      </c>
      <c r="U99" s="322"/>
      <c r="V99" s="322"/>
      <c r="W99" s="322"/>
      <c r="X99" s="322"/>
      <c r="Y99" s="322"/>
      <c r="Z99" s="325">
        <v>40</v>
      </c>
      <c r="AA99" s="73"/>
      <c r="AB99" s="73"/>
      <c r="AC99" s="73"/>
      <c r="AD99" s="73"/>
      <c r="AE99" s="73"/>
      <c r="AF99" s="73"/>
      <c r="AG99" s="73"/>
      <c r="AH99" s="73"/>
    </row>
    <row r="100" spans="2:34" hidden="1" x14ac:dyDescent="0.25">
      <c r="B100" s="1438">
        <v>50</v>
      </c>
      <c r="C100" s="1438"/>
      <c r="D100" s="321" t="str">
        <f ca="1">Taal04!$B$212&amp;":"</f>
        <v>Bonusvragen:</v>
      </c>
      <c r="E100" s="322"/>
      <c r="F100" s="322"/>
      <c r="G100" s="322"/>
      <c r="H100" s="322"/>
      <c r="I100" s="322"/>
      <c r="J100" s="322"/>
      <c r="K100" s="322"/>
      <c r="L100" s="322"/>
      <c r="M100" s="322"/>
      <c r="N100" s="322"/>
      <c r="O100" s="73"/>
      <c r="P100" s="322"/>
      <c r="Q100" s="322"/>
      <c r="R100" s="322"/>
      <c r="S100" s="324" t="s">
        <v>361</v>
      </c>
      <c r="T100" s="77" t="str">
        <f>IF($N$55="F1e",#REF!,IF($N$55="F2e",Finalewedstrijden!AL59,IF($N$55="F3e",#REF!,0)))</f>
        <v>LEEG</v>
      </c>
      <c r="U100" s="322"/>
      <c r="V100" s="322"/>
      <c r="W100" s="322"/>
      <c r="X100" s="322"/>
      <c r="Y100" s="322"/>
      <c r="Z100" s="325">
        <f>IF(T102="GOED",43,IF(T102="LEEG",41.1,42.1))</f>
        <v>41.1</v>
      </c>
      <c r="AA100" s="73"/>
      <c r="AB100" s="73"/>
      <c r="AC100" s="73"/>
      <c r="AD100" s="73"/>
      <c r="AE100" s="73"/>
      <c r="AF100" s="73"/>
      <c r="AG100" s="73"/>
      <c r="AH100" s="73"/>
    </row>
    <row r="101" spans="2:34" hidden="1" x14ac:dyDescent="0.25">
      <c r="B101" s="1437">
        <v>51.1</v>
      </c>
      <c r="C101" s="1437"/>
      <c r="D101" s="322" t="str">
        <f ca="1">Taal04!$B$213</f>
        <v>Het genereren van de deelnamecode voor de bonusvragen is niet mogelijk in verband met het ontbreken</v>
      </c>
      <c r="E101" s="322"/>
      <c r="F101" s="322"/>
      <c r="G101" s="322"/>
      <c r="H101" s="322"/>
      <c r="I101" s="322"/>
      <c r="J101" s="322"/>
      <c r="K101" s="322"/>
      <c r="L101" s="322"/>
      <c r="M101" s="322"/>
      <c r="N101" s="322"/>
      <c r="O101" s="73"/>
      <c r="P101" s="322"/>
      <c r="Q101" s="322"/>
      <c r="R101" s="322"/>
      <c r="S101" s="324" t="s">
        <v>364</v>
      </c>
      <c r="T101" s="77" t="str">
        <f>IF(LEN(T99)=3,"GOED",IF(LEN(T99)=4,"LEEG","FOUT"))</f>
        <v>LEEG</v>
      </c>
      <c r="U101" s="343" t="s">
        <v>388</v>
      </c>
      <c r="V101" s="322"/>
      <c r="W101" s="322"/>
      <c r="X101" s="322"/>
      <c r="Y101" s="322"/>
      <c r="Z101" s="322">
        <f>IF(Z100-FLOOR(Z100,1)&gt;0,Z100+0.1,"")</f>
        <v>41.2</v>
      </c>
      <c r="AA101" s="73"/>
      <c r="AB101" s="73"/>
      <c r="AC101" s="73"/>
      <c r="AD101" s="73"/>
      <c r="AE101" s="73"/>
      <c r="AF101" s="73"/>
      <c r="AG101" s="73"/>
      <c r="AH101" s="73"/>
    </row>
    <row r="102" spans="2:34" hidden="1" x14ac:dyDescent="0.25">
      <c r="B102" s="1437">
        <v>51.2</v>
      </c>
      <c r="C102" s="1437"/>
      <c r="D102" s="322" t="str">
        <f ca="1">Taal04!$B$214</f>
        <v>van gegevens. Controleer of alle velden zijn ingevuld op het werkblad "Bonusvragen".</v>
      </c>
      <c r="E102" s="322"/>
      <c r="F102" s="322"/>
      <c r="G102" s="322"/>
      <c r="H102" s="322"/>
      <c r="I102" s="322"/>
      <c r="J102" s="322"/>
      <c r="K102" s="322"/>
      <c r="L102" s="322"/>
      <c r="M102" s="322"/>
      <c r="N102" s="322"/>
      <c r="O102" s="73"/>
      <c r="P102" s="322"/>
      <c r="Q102" s="322"/>
      <c r="R102" s="322"/>
      <c r="S102" s="324" t="s">
        <v>365</v>
      </c>
      <c r="T102" s="77" t="str">
        <f>IF(AND(T100="GOED",T101="GOED"),"GOED",IF(AND(T100="LEEG",T101="LEEG"),"LEEG","FOUT"))</f>
        <v>LEEG</v>
      </c>
      <c r="U102" s="322"/>
      <c r="V102" s="322"/>
      <c r="W102" s="322"/>
      <c r="X102" s="322"/>
      <c r="Y102" s="322"/>
      <c r="Z102" s="322"/>
      <c r="AA102" s="73"/>
      <c r="AB102" s="73"/>
      <c r="AC102" s="73"/>
      <c r="AD102" s="73"/>
      <c r="AE102" s="73"/>
      <c r="AF102" s="73"/>
      <c r="AG102" s="73"/>
      <c r="AH102" s="73"/>
    </row>
    <row r="103" spans="2:34" hidden="1" x14ac:dyDescent="0.25">
      <c r="B103" s="1437">
        <v>52.1</v>
      </c>
      <c r="C103" s="1437"/>
      <c r="D103" s="322" t="str">
        <f ca="1">Taal04!$B$215</f>
        <v>Bij het genereren van de deelnamecode voor de bonusvragen is er een fout geconstateerd. Controleer uw</v>
      </c>
      <c r="E103" s="322"/>
      <c r="F103" s="322"/>
      <c r="G103" s="322"/>
      <c r="H103" s="322"/>
      <c r="I103" s="322"/>
      <c r="J103" s="322"/>
      <c r="K103" s="322"/>
      <c r="L103" s="322"/>
      <c r="M103" s="322"/>
      <c r="N103" s="322"/>
      <c r="O103" s="73"/>
      <c r="P103" s="326"/>
      <c r="Q103" s="326"/>
      <c r="R103" s="326"/>
      <c r="S103" s="327"/>
      <c r="T103" s="326"/>
      <c r="U103" s="326"/>
      <c r="V103" s="326"/>
      <c r="W103" s="326"/>
      <c r="X103" s="326"/>
      <c r="Y103" s="326"/>
      <c r="Z103" s="329">
        <f>Z67</f>
        <v>99.9</v>
      </c>
      <c r="AA103" s="73"/>
      <c r="AB103" s="73"/>
      <c r="AC103" s="73"/>
      <c r="AD103" s="73"/>
      <c r="AE103" s="73"/>
      <c r="AF103" s="73"/>
      <c r="AG103" s="73"/>
      <c r="AH103" s="73"/>
    </row>
    <row r="104" spans="2:34" hidden="1" x14ac:dyDescent="0.25">
      <c r="B104" s="1437">
        <v>52.2</v>
      </c>
      <c r="C104" s="1437"/>
      <c r="D104" s="322" t="str">
        <f ca="1">Taal04!$B$216</f>
        <v>invoer op het werkblad "Bonusvragen".</v>
      </c>
      <c r="E104" s="322"/>
      <c r="F104" s="322"/>
      <c r="G104" s="322"/>
      <c r="H104" s="322"/>
      <c r="I104" s="322"/>
      <c r="J104" s="322"/>
      <c r="K104" s="322"/>
      <c r="L104" s="322"/>
      <c r="M104" s="322"/>
      <c r="N104" s="322"/>
      <c r="O104" s="73"/>
      <c r="P104" s="322"/>
      <c r="Q104" s="322"/>
      <c r="R104" s="322"/>
      <c r="S104" s="322"/>
      <c r="T104" s="323" t="s">
        <v>2216</v>
      </c>
      <c r="U104" s="322"/>
      <c r="V104" s="322"/>
      <c r="W104" s="322"/>
      <c r="X104" s="322"/>
      <c r="Y104" s="322"/>
      <c r="Z104" s="322"/>
      <c r="AA104" s="73"/>
      <c r="AB104" s="73"/>
      <c r="AC104" s="73"/>
      <c r="AD104" s="73"/>
      <c r="AE104" s="73"/>
      <c r="AF104" s="73"/>
      <c r="AG104" s="73"/>
      <c r="AH104" s="73"/>
    </row>
    <row r="105" spans="2:34" hidden="1" x14ac:dyDescent="0.25">
      <c r="B105" s="1437">
        <v>52.5</v>
      </c>
      <c r="C105" s="1437"/>
      <c r="D105" s="322" t="str">
        <f ca="1">Taal04!$B$217</f>
        <v>Bij het genereren van de deelnamecode voor de bonusvragen zijn er fouten geconstateerd. Controleer uw</v>
      </c>
      <c r="E105" s="322"/>
      <c r="F105" s="322"/>
      <c r="G105" s="322"/>
      <c r="H105" s="322"/>
      <c r="I105" s="322"/>
      <c r="J105" s="322"/>
      <c r="K105" s="322"/>
      <c r="L105" s="322"/>
      <c r="M105" s="322"/>
      <c r="N105" s="322"/>
      <c r="O105" s="73"/>
      <c r="P105" s="322"/>
      <c r="Q105" s="322"/>
      <c r="R105" s="322"/>
      <c r="S105" s="324" t="s">
        <v>391</v>
      </c>
      <c r="T105" s="322" t="str">
        <f>IF($N$59="B1e",Bonusvragen!O81,0)</f>
        <v>|FOUTFOUTFOUTFOUTFOUTFOUTFOUTFOUTFOUTFOUTFOUTFOUTFOUTFOUTFOUT#3#3}</v>
      </c>
      <c r="U105" s="322"/>
      <c r="V105" s="322"/>
      <c r="W105" s="322"/>
      <c r="X105" s="322"/>
      <c r="Y105" s="322"/>
      <c r="Z105" s="325">
        <f>IF(T111="NVT",99.9,50)</f>
        <v>50</v>
      </c>
      <c r="AA105" s="73"/>
      <c r="AB105" s="73"/>
      <c r="AC105" s="73"/>
      <c r="AD105" s="73"/>
      <c r="AE105" s="73"/>
      <c r="AF105" s="73"/>
      <c r="AG105" s="73"/>
      <c r="AH105" s="73"/>
    </row>
    <row r="106" spans="2:34" hidden="1" x14ac:dyDescent="0.25">
      <c r="B106" s="1437">
        <v>52.6</v>
      </c>
      <c r="C106" s="1437"/>
      <c r="D106" s="322" t="str">
        <f ca="1">Taal04!$B$218</f>
        <v>invoer op het werkblad "Bonusvragen".</v>
      </c>
      <c r="E106" s="322"/>
      <c r="F106" s="322"/>
      <c r="G106" s="322"/>
      <c r="H106" s="322"/>
      <c r="I106" s="322"/>
      <c r="J106" s="322"/>
      <c r="K106" s="322"/>
      <c r="L106" s="322"/>
      <c r="M106" s="322"/>
      <c r="N106" s="322"/>
      <c r="O106" s="73"/>
      <c r="P106" s="322"/>
      <c r="Q106" s="322"/>
      <c r="R106" s="322"/>
      <c r="S106" s="324" t="s">
        <v>361</v>
      </c>
      <c r="T106" s="77" t="str">
        <f>IF(LEN(T105)=LEN(SUBSTITUTE(T105,"FOUT","ONGELDIG")),"GOED","FOUT")</f>
        <v>FOUT</v>
      </c>
      <c r="U106" s="322"/>
      <c r="V106" s="322"/>
      <c r="W106" s="322"/>
      <c r="X106" s="322"/>
      <c r="Y106" s="322"/>
      <c r="Z106" s="325">
        <f>IF(T111="NVT",99.9,IF(T111="GOED",53,IF(T111="LEEG",51.1,IF(T111="FOUT",52.1,52.5))))</f>
        <v>51.1</v>
      </c>
      <c r="AA106" s="73"/>
      <c r="AB106" s="73"/>
      <c r="AC106" s="73"/>
      <c r="AD106" s="73"/>
      <c r="AE106" s="73"/>
      <c r="AF106" s="73"/>
      <c r="AG106" s="73"/>
      <c r="AH106" s="73"/>
    </row>
    <row r="107" spans="2:34" hidden="1" x14ac:dyDescent="0.25">
      <c r="B107" s="1437">
        <v>53</v>
      </c>
      <c r="C107" s="1437"/>
      <c r="D107" s="322" t="str">
        <f ca="1">Taal04!$B$219</f>
        <v>De deelnamecode voor de bonusvragen is zonder foutmeldingen gegenereerd.</v>
      </c>
      <c r="E107" s="322"/>
      <c r="F107" s="322"/>
      <c r="G107" s="322"/>
      <c r="H107" s="322"/>
      <c r="I107" s="322"/>
      <c r="J107" s="322"/>
      <c r="K107" s="322"/>
      <c r="L107" s="322"/>
      <c r="M107" s="322"/>
      <c r="N107" s="322"/>
      <c r="O107" s="73"/>
      <c r="P107" s="322"/>
      <c r="Q107" s="322"/>
      <c r="R107" s="322"/>
      <c r="S107" s="324" t="s">
        <v>364</v>
      </c>
      <c r="T107" s="77" t="str">
        <f>IF(LEN(T105)=45+X107+X108,"GOED",IF(LEN(T105)=66,"LEEG","FOUT"))</f>
        <v>LEEG</v>
      </c>
      <c r="U107" s="343" t="str">
        <f>45+X107+X108&amp;" = goed / 66 = leeg"</f>
        <v>51 = goed / 66 = leeg</v>
      </c>
      <c r="V107" s="322"/>
      <c r="W107" s="331" t="s">
        <v>393</v>
      </c>
      <c r="X107" s="332" t="str">
        <f>SUBSTITUTE(LEFT(RIGHT(T105,5),2),"#","")</f>
        <v>3</v>
      </c>
      <c r="Y107" s="322"/>
      <c r="Z107" s="322">
        <f>IF(T111="NVT","",IF(Z106-FLOOR(Z106,1)&gt;0,Z106+0.1,""))</f>
        <v>51.2</v>
      </c>
      <c r="AA107" s="73"/>
      <c r="AB107" s="73"/>
      <c r="AC107" s="73"/>
      <c r="AD107" s="73"/>
      <c r="AE107" s="73"/>
      <c r="AF107" s="73"/>
      <c r="AG107" s="73"/>
      <c r="AH107" s="73"/>
    </row>
    <row r="108" spans="2:34" hidden="1" x14ac:dyDescent="0.25">
      <c r="B108" s="1438">
        <v>60</v>
      </c>
      <c r="C108" s="1438"/>
      <c r="D108" s="321" t="str">
        <f ca="1">Taal04!$B$221</f>
        <v>Teams</v>
      </c>
      <c r="E108" s="322"/>
      <c r="F108" s="322"/>
      <c r="G108" s="322"/>
      <c r="H108" s="322"/>
      <c r="I108" s="322"/>
      <c r="J108" s="322"/>
      <c r="K108" s="322"/>
      <c r="L108" s="322"/>
      <c r="M108" s="322"/>
      <c r="N108" s="322"/>
      <c r="O108" s="73"/>
      <c r="P108" s="322"/>
      <c r="Q108" s="322"/>
      <c r="R108" s="322"/>
      <c r="S108" s="324" t="s">
        <v>371</v>
      </c>
      <c r="T108" s="77">
        <f>IF($N$59="B1e",Bonusvragen!M81,0)</f>
        <v>15</v>
      </c>
      <c r="U108" s="322"/>
      <c r="V108" s="322"/>
      <c r="W108" s="333" t="s">
        <v>394</v>
      </c>
      <c r="X108" s="334" t="str">
        <f>SUBSTITUTE(LEFT(RIGHT(T105,3),2),"#","")</f>
        <v>3</v>
      </c>
      <c r="Y108" s="322"/>
      <c r="Z108" s="322"/>
      <c r="AA108" s="73"/>
      <c r="AB108" s="73"/>
      <c r="AC108" s="73"/>
      <c r="AD108" s="73"/>
      <c r="AE108" s="73"/>
      <c r="AF108" s="73"/>
      <c r="AG108" s="73"/>
      <c r="AH108" s="73"/>
    </row>
    <row r="109" spans="2:34" hidden="1" x14ac:dyDescent="0.25">
      <c r="B109" s="1437">
        <v>61.1</v>
      </c>
      <c r="C109" s="1437"/>
      <c r="D109" s="322" t="str">
        <f ca="1">Taal04!$B$222</f>
        <v>Er zijn onvoldoende teams geselecteerd om een deelnamecode te genereren.</v>
      </c>
      <c r="E109" s="322"/>
      <c r="F109" s="322"/>
      <c r="G109" s="322"/>
      <c r="H109" s="322"/>
      <c r="I109" s="322"/>
      <c r="J109" s="322"/>
      <c r="K109" s="322"/>
      <c r="L109" s="322"/>
      <c r="M109" s="322"/>
      <c r="N109" s="322"/>
      <c r="O109" s="73"/>
      <c r="P109" s="322"/>
      <c r="Q109" s="322"/>
      <c r="R109" s="322"/>
      <c r="S109" s="324" t="s">
        <v>374</v>
      </c>
      <c r="T109" s="77">
        <f>IF($N$59="B1e",Bonusvragen!M82,0)</f>
        <v>0</v>
      </c>
      <c r="U109" s="322"/>
      <c r="V109" s="322"/>
      <c r="W109" s="322"/>
      <c r="X109" s="322"/>
      <c r="Y109" s="322"/>
      <c r="Z109" s="322"/>
      <c r="AA109" s="73"/>
      <c r="AB109" s="73"/>
      <c r="AC109" s="73"/>
      <c r="AD109" s="73"/>
      <c r="AE109" s="73"/>
      <c r="AF109" s="73"/>
      <c r="AG109" s="73"/>
      <c r="AH109" s="73"/>
    </row>
    <row r="110" spans="2:34" hidden="1" x14ac:dyDescent="0.25">
      <c r="B110" s="1437">
        <v>61.2</v>
      </c>
      <c r="C110" s="1437"/>
      <c r="D110" s="322" t="str">
        <f ca="1">Taal04!$B$223</f>
        <v>Er zijn teveel teams geselecteerd om een deelnamecode te genereren.</v>
      </c>
      <c r="E110" s="322"/>
      <c r="F110" s="322"/>
      <c r="G110" s="322"/>
      <c r="H110" s="322"/>
      <c r="I110" s="322"/>
      <c r="J110" s="322"/>
      <c r="K110" s="322"/>
      <c r="L110" s="322"/>
      <c r="M110" s="322"/>
      <c r="N110" s="322"/>
      <c r="O110" s="73"/>
      <c r="P110" s="322"/>
      <c r="Q110" s="322"/>
      <c r="R110" s="322"/>
      <c r="S110" s="324" t="s">
        <v>375</v>
      </c>
      <c r="T110" s="77">
        <f>IF($N$59="B1e",Bonusvragen!M83,0)</f>
        <v>0</v>
      </c>
      <c r="U110" s="322"/>
      <c r="V110" s="322"/>
      <c r="W110" s="322"/>
      <c r="X110" s="322"/>
      <c r="Y110" s="322"/>
      <c r="Z110" s="322"/>
      <c r="AA110" s="73"/>
      <c r="AB110" s="73"/>
      <c r="AC110" s="73"/>
      <c r="AD110" s="73"/>
      <c r="AE110" s="73"/>
      <c r="AF110" s="73"/>
      <c r="AG110" s="73"/>
      <c r="AH110" s="73"/>
    </row>
    <row r="111" spans="2:34" hidden="1" x14ac:dyDescent="0.25">
      <c r="B111" s="1437">
        <v>61.3</v>
      </c>
      <c r="C111" s="1437"/>
      <c r="D111" s="322" t="str">
        <f ca="1">Taal04!$B$224</f>
        <v>Controleer het aantal geselecteerde teams op het werkblad "Teams".</v>
      </c>
      <c r="E111" s="322"/>
      <c r="F111" s="322"/>
      <c r="G111" s="322"/>
      <c r="H111" s="322"/>
      <c r="I111" s="322"/>
      <c r="J111" s="322"/>
      <c r="K111" s="322"/>
      <c r="L111" s="322"/>
      <c r="M111" s="322"/>
      <c r="N111" s="322"/>
      <c r="O111" s="73"/>
      <c r="P111" s="322"/>
      <c r="Q111" s="322"/>
      <c r="R111" s="322"/>
      <c r="S111" s="324" t="s">
        <v>365</v>
      </c>
      <c r="T111" s="77" t="str">
        <f>IF($H$59= "JA",IF(AND(T106="GOED",T107="GOED",T108=0,T109=0,T110=15),"GOED",IF(T108&gt;0,"LEEG",IF(T109&lt;2,"FOUT","FOUTEN"))),"NVT")</f>
        <v>LEEG</v>
      </c>
      <c r="U111" s="322"/>
      <c r="V111" s="322"/>
      <c r="W111" s="322"/>
      <c r="X111" s="322"/>
      <c r="Y111" s="322"/>
      <c r="Z111" s="322"/>
      <c r="AA111" s="73"/>
      <c r="AB111" s="73"/>
      <c r="AC111" s="73"/>
      <c r="AD111" s="73"/>
      <c r="AE111" s="73"/>
      <c r="AF111" s="73"/>
      <c r="AG111" s="73"/>
      <c r="AH111" s="73"/>
    </row>
    <row r="112" spans="2:34" hidden="1" x14ac:dyDescent="0.25">
      <c r="B112" s="1437">
        <v>62.1</v>
      </c>
      <c r="C112" s="1437"/>
      <c r="D112" s="322" t="str">
        <f ca="1">Taal04!$B$225</f>
        <v>Bij het genereren van de deelnamecode voor de teams is er een fout geconstateerd.</v>
      </c>
      <c r="E112" s="322"/>
      <c r="F112" s="322"/>
      <c r="G112" s="322"/>
      <c r="H112" s="322"/>
      <c r="I112" s="322"/>
      <c r="J112" s="322"/>
      <c r="K112" s="322"/>
      <c r="L112" s="322"/>
      <c r="M112" s="322"/>
      <c r="N112" s="322"/>
      <c r="O112" s="73"/>
      <c r="P112" s="326"/>
      <c r="Q112" s="326"/>
      <c r="R112" s="326"/>
      <c r="S112" s="327"/>
      <c r="T112" s="326"/>
      <c r="U112" s="326"/>
      <c r="V112" s="326"/>
      <c r="W112" s="326"/>
      <c r="X112" s="326"/>
      <c r="Y112" s="329">
        <f>IF(T111="NVT","",Z67)</f>
        <v>99.9</v>
      </c>
      <c r="Z112" s="329"/>
      <c r="AA112" s="73"/>
      <c r="AB112" s="73"/>
      <c r="AC112" s="73"/>
      <c r="AD112" s="73"/>
      <c r="AE112" s="73"/>
      <c r="AF112" s="73"/>
      <c r="AG112" s="73"/>
      <c r="AH112" s="73"/>
    </row>
    <row r="113" spans="2:34" hidden="1" x14ac:dyDescent="0.25">
      <c r="B113" s="1437">
        <v>62.2</v>
      </c>
      <c r="C113" s="1437"/>
      <c r="D113" s="322" t="str">
        <f ca="1">Taal04!$B$226</f>
        <v>Controleer uw selectie van de teams op het werkblad "Teams".</v>
      </c>
      <c r="E113" s="322"/>
      <c r="F113" s="322"/>
      <c r="G113" s="322"/>
      <c r="H113" s="322"/>
      <c r="I113" s="322"/>
      <c r="J113" s="322"/>
      <c r="K113" s="322"/>
      <c r="L113" s="322"/>
      <c r="M113" s="322"/>
      <c r="N113" s="322"/>
      <c r="O113" s="73"/>
      <c r="P113" s="322"/>
      <c r="Q113" s="322"/>
      <c r="R113" s="322"/>
      <c r="S113" s="324"/>
      <c r="T113" s="323" t="s">
        <v>2217</v>
      </c>
      <c r="U113" s="322"/>
      <c r="V113" s="322"/>
      <c r="W113" s="322"/>
      <c r="X113" s="322"/>
      <c r="Y113" s="322"/>
      <c r="Z113" s="322"/>
      <c r="AA113" s="73"/>
      <c r="AB113" s="73"/>
      <c r="AC113" s="73"/>
      <c r="AD113" s="73"/>
      <c r="AE113" s="73"/>
      <c r="AF113" s="73"/>
      <c r="AG113" s="73"/>
      <c r="AH113" s="73"/>
    </row>
    <row r="114" spans="2:34" hidden="1" x14ac:dyDescent="0.25">
      <c r="B114" s="1437">
        <v>63</v>
      </c>
      <c r="C114" s="1437"/>
      <c r="D114" s="322" t="str">
        <f ca="1">Taal04!$B$227</f>
        <v>Er zijn voldoende teams geselecteerd om een deelnamecode te genereren.</v>
      </c>
      <c r="E114" s="322"/>
      <c r="F114" s="322"/>
      <c r="G114" s="322"/>
      <c r="H114" s="322"/>
      <c r="I114" s="322"/>
      <c r="J114" s="322"/>
      <c r="K114" s="322"/>
      <c r="L114" s="322"/>
      <c r="M114" s="322"/>
      <c r="N114" s="322"/>
      <c r="O114" s="73"/>
      <c r="P114" s="322"/>
      <c r="Q114" s="322"/>
      <c r="R114" s="322"/>
      <c r="S114" s="324" t="s">
        <v>2218</v>
      </c>
      <c r="T114" s="330">
        <f>IF(Teams!T3=1,Teams!Q215,0)</f>
        <v>0</v>
      </c>
      <c r="U114" s="322"/>
      <c r="V114" s="322"/>
      <c r="W114" s="322"/>
      <c r="X114" s="322"/>
      <c r="Y114" s="322">
        <f>IF(T116="NVT",99.9,60)</f>
        <v>99.9</v>
      </c>
      <c r="Z114" s="375" t="str">
        <f>IF(T86="NVT",99.9,"")</f>
        <v/>
      </c>
      <c r="AA114" s="73"/>
      <c r="AB114" s="73"/>
      <c r="AC114" s="73"/>
      <c r="AD114" s="73"/>
      <c r="AE114" s="73"/>
      <c r="AF114" s="73"/>
      <c r="AG114" s="73"/>
      <c r="AH114" s="73"/>
    </row>
    <row r="115" spans="2:34" hidden="1" x14ac:dyDescent="0.25">
      <c r="B115" s="1439">
        <v>88.8</v>
      </c>
      <c r="C115" s="1439"/>
      <c r="D115" s="322" t="str">
        <f>Voorblad!C15</f>
        <v/>
      </c>
      <c r="E115" s="322"/>
      <c r="F115" s="322"/>
      <c r="G115" s="322"/>
      <c r="H115" s="322"/>
      <c r="I115" s="322"/>
      <c r="J115" s="322"/>
      <c r="K115" s="322"/>
      <c r="L115" s="322"/>
      <c r="M115" s="322"/>
      <c r="N115" s="322"/>
      <c r="O115" s="73"/>
      <c r="P115" s="322"/>
      <c r="Q115" s="322"/>
      <c r="R115" s="322"/>
      <c r="S115" s="324" t="s">
        <v>2219</v>
      </c>
      <c r="T115" s="77">
        <f>IF(Teams!T3=1,Teams!Q212,0)</f>
        <v>0</v>
      </c>
      <c r="U115" s="322"/>
      <c r="V115" s="324" t="s">
        <v>2220</v>
      </c>
      <c r="W115" s="322" t="str">
        <f>IF(LEN(T114)=10,"GOED","FOUT")</f>
        <v>FOUT</v>
      </c>
      <c r="X115" s="322"/>
      <c r="Y115" s="322">
        <f>IF(T116="NVT",99.9,IF(T116="GOED",63,IF(T116="TEWEINIG",61.1,IF(T116="TEVEEL",61.2,62.1))))</f>
        <v>99.9</v>
      </c>
      <c r="Z115" s="375" t="str">
        <f>IF(T86="NVT",99.9,"")</f>
        <v/>
      </c>
      <c r="AA115" s="73"/>
      <c r="AB115" s="73"/>
      <c r="AC115" s="73"/>
      <c r="AD115" s="73"/>
      <c r="AE115" s="73"/>
      <c r="AF115" s="73"/>
      <c r="AG115" s="73"/>
      <c r="AH115" s="73"/>
    </row>
    <row r="116" spans="2:34" hidden="1" x14ac:dyDescent="0.25">
      <c r="B116" s="1438">
        <v>99.9</v>
      </c>
      <c r="C116" s="1438"/>
      <c r="D116" s="321" t="s">
        <v>395</v>
      </c>
      <c r="E116" s="322"/>
      <c r="F116" s="322"/>
      <c r="G116" s="322"/>
      <c r="H116" s="322"/>
      <c r="I116" s="322"/>
      <c r="J116" s="322"/>
      <c r="K116" s="322"/>
      <c r="L116" s="322"/>
      <c r="M116" s="322"/>
      <c r="N116" s="322"/>
      <c r="O116" s="73"/>
      <c r="P116" s="322"/>
      <c r="Q116" s="322"/>
      <c r="R116" s="322"/>
      <c r="S116" s="324" t="s">
        <v>365</v>
      </c>
      <c r="T116" s="77" t="str">
        <f>IF(AND(T114&lt;&gt;0,T115=1,W115="GOED"),"GOED",IF(AND(T114&lt;&gt;0,T115=2),"TEWEINIG",IF(AND(T114&lt;&gt;0,T115=3),"TEVEEL",IF(T114&lt;&gt;0,"FOUT","NVT"))))</f>
        <v>NVT</v>
      </c>
      <c r="U116" s="322"/>
      <c r="V116" s="322"/>
      <c r="W116" s="322"/>
      <c r="X116" s="322"/>
      <c r="Y116" s="322">
        <f>IF(T116="NVT",99.9,IF(T116="GOED",99.9,IF(T116="TEWEINIG",61.3,IF(T116="TEVEEL",61.3,62.2))))</f>
        <v>99.9</v>
      </c>
      <c r="Z116" s="375" t="str">
        <f>IF(T86="NVT",99.9,"")</f>
        <v/>
      </c>
      <c r="AA116" s="73"/>
      <c r="AB116" s="73"/>
      <c r="AC116" s="73"/>
      <c r="AD116" s="73"/>
      <c r="AE116" s="73"/>
      <c r="AF116" s="73"/>
      <c r="AG116" s="73"/>
      <c r="AH116" s="73"/>
    </row>
    <row r="117" spans="2:34" hidden="1" x14ac:dyDescent="0.25">
      <c r="B117" s="1432" t="s">
        <v>396</v>
      </c>
      <c r="C117" s="1432"/>
      <c r="D117" s="1432"/>
      <c r="E117" s="1432"/>
      <c r="F117" s="1432"/>
      <c r="G117" s="335" t="s">
        <v>397</v>
      </c>
      <c r="H117" s="335" t="s">
        <v>398</v>
      </c>
      <c r="I117" s="335" t="s">
        <v>399</v>
      </c>
      <c r="J117" s="335" t="s">
        <v>400</v>
      </c>
      <c r="K117" s="335" t="s">
        <v>274</v>
      </c>
      <c r="L117" s="336"/>
      <c r="M117" s="336"/>
      <c r="N117" s="336"/>
      <c r="O117" s="73"/>
      <c r="P117" s="326"/>
      <c r="Q117" s="326"/>
      <c r="R117" s="326"/>
      <c r="S117" s="327"/>
      <c r="T117" s="326"/>
      <c r="U117" s="326"/>
      <c r="V117" s="326"/>
      <c r="W117" s="326"/>
      <c r="X117" s="327" t="s">
        <v>2235</v>
      </c>
      <c r="Y117" s="1023">
        <f ca="1">COUNT(Z61:Z116)+COUNT(Y112:Y116)</f>
        <v>27</v>
      </c>
      <c r="Z117" s="328" t="str">
        <f ca="1">IF(Y117&lt;27,B116,"")</f>
        <v/>
      </c>
      <c r="AA117" s="73"/>
      <c r="AB117" s="73"/>
      <c r="AC117" s="73"/>
      <c r="AD117" s="73"/>
      <c r="AE117" s="73"/>
      <c r="AF117" s="73"/>
      <c r="AG117" s="73"/>
      <c r="AH117" s="73"/>
    </row>
    <row r="118" spans="2:34" hidden="1" x14ac:dyDescent="0.25">
      <c r="B118" s="1432" t="str">
        <f ca="1">SUBSTITUTE(D63,":","")</f>
        <v>Gegevens Deelnemer</v>
      </c>
      <c r="C118" s="1432"/>
      <c r="D118" s="1432"/>
      <c r="E118" s="1432"/>
      <c r="F118" s="1432"/>
      <c r="G118" s="335">
        <v>2</v>
      </c>
      <c r="H118" s="335">
        <f>IF(T66="LEEG",1,0)+IF(AD66="LEEG",IF(AD69="NEE",0,1),0)</f>
        <v>2</v>
      </c>
      <c r="I118" s="335">
        <f>IF(T66="GOED",1,0)+IF(AD66="GOED",1,0)+IF(AND(AD66="LEEG",AD69="NEE"),1,0)</f>
        <v>0</v>
      </c>
      <c r="J118" s="335">
        <f>IF(T66="FOUT",1,0)+IF(AD66="FOUT",1,0)</f>
        <v>0</v>
      </c>
      <c r="K118" s="559" t="str">
        <f>IF(AND(AF68="GOED",AF69="GOED"),"GOED",IF(OR(AF68="LEEG",AF69="LEEG"),"LEEG","FOUT"))</f>
        <v>LEEG</v>
      </c>
      <c r="L118" s="336"/>
      <c r="M118" s="336"/>
      <c r="N118" s="336"/>
      <c r="O118" s="73"/>
      <c r="P118" s="326"/>
      <c r="Q118" s="326"/>
      <c r="R118" s="326"/>
      <c r="S118" s="327"/>
      <c r="T118" s="326"/>
      <c r="U118" s="326"/>
      <c r="V118" s="326"/>
      <c r="W118" s="326"/>
      <c r="X118" s="326"/>
      <c r="Y118" s="326"/>
      <c r="Z118" s="328" t="str">
        <f ca="1">IF(Y117&lt;26,B116,"")</f>
        <v/>
      </c>
      <c r="AA118" s="73"/>
      <c r="AB118" s="73"/>
      <c r="AC118" s="73"/>
      <c r="AD118" s="73"/>
      <c r="AE118" s="73"/>
      <c r="AF118" s="73"/>
      <c r="AG118" s="73"/>
      <c r="AH118" s="73"/>
    </row>
    <row r="119" spans="2:34" hidden="1" x14ac:dyDescent="0.25">
      <c r="B119" s="1432" t="str">
        <f ca="1">SUBSTITUTE(D70,":","")</f>
        <v>Voorspellingen Groepswedstrijden</v>
      </c>
      <c r="C119" s="1432"/>
      <c r="D119" s="1432"/>
      <c r="E119" s="1432"/>
      <c r="F119" s="1432"/>
      <c r="G119" s="455">
        <f>IF($N$53="G1e",$AD$57,IF($N$53="G2e",$AE$57,999))</f>
        <v>36</v>
      </c>
      <c r="H119" s="335">
        <f ca="1">T72</f>
        <v>36</v>
      </c>
      <c r="I119" s="335">
        <f ca="1">T75</f>
        <v>0</v>
      </c>
      <c r="J119" s="335">
        <f ca="1">T73+T74</f>
        <v>0</v>
      </c>
      <c r="K119" s="335" t="str">
        <f ca="1">T76</f>
        <v>LEEG</v>
      </c>
      <c r="L119" s="336"/>
      <c r="M119" s="337"/>
      <c r="N119" s="336"/>
      <c r="O119" s="73"/>
      <c r="P119" s="326"/>
      <c r="Q119" s="326"/>
      <c r="R119" s="326"/>
      <c r="S119" s="327"/>
      <c r="T119" s="326"/>
      <c r="U119" s="326"/>
      <c r="V119" s="326"/>
      <c r="W119" s="326"/>
      <c r="X119" s="326"/>
      <c r="Y119" s="326"/>
      <c r="Z119" s="328" t="str">
        <f ca="1">IF(Y117&lt;25,B116,"")</f>
        <v/>
      </c>
      <c r="AA119" s="73"/>
      <c r="AB119" s="73"/>
      <c r="AC119" s="73"/>
      <c r="AD119" s="73"/>
      <c r="AE119" s="73"/>
      <c r="AF119" s="73"/>
      <c r="AG119" s="73"/>
      <c r="AH119" s="73"/>
    </row>
    <row r="120" spans="2:34" hidden="1" x14ac:dyDescent="0.25">
      <c r="B120" s="1432" t="str">
        <f ca="1">SUBSTITUTE(D78,":","")</f>
        <v>Voorspellingen Eindstand in de Groep</v>
      </c>
      <c r="C120" s="1432"/>
      <c r="D120" s="1432"/>
      <c r="E120" s="1432"/>
      <c r="F120" s="1432"/>
      <c r="G120" s="455">
        <f>IF(T86="NVT",0,$AD$55)</f>
        <v>24</v>
      </c>
      <c r="H120" s="335">
        <f>IF(T86="NVT",0,T82)</f>
        <v>24</v>
      </c>
      <c r="I120" s="335">
        <f>IF(T86="NVT",0,T85)</f>
        <v>0</v>
      </c>
      <c r="J120" s="335">
        <f>IF(T86="NVT",0,T83+T84)</f>
        <v>0</v>
      </c>
      <c r="K120" s="335" t="str">
        <f>IF(T86="NVT","GOED",T86)</f>
        <v>LEEG</v>
      </c>
      <c r="L120" s="336"/>
      <c r="M120" s="337"/>
      <c r="N120" s="336"/>
      <c r="O120" s="73"/>
      <c r="P120" s="326"/>
      <c r="Q120" s="326"/>
      <c r="R120" s="326"/>
      <c r="S120" s="327"/>
      <c r="T120" s="326"/>
      <c r="U120" s="326"/>
      <c r="V120" s="326"/>
      <c r="W120" s="326"/>
      <c r="X120" s="326"/>
      <c r="Y120" s="326"/>
      <c r="Z120" s="328" t="str">
        <f ca="1">IF(Y117&lt;24,B116,"")</f>
        <v/>
      </c>
      <c r="AA120" s="73"/>
      <c r="AB120" s="73"/>
      <c r="AC120" s="73"/>
      <c r="AD120" s="73"/>
      <c r="AE120" s="73"/>
      <c r="AF120" s="73"/>
      <c r="AG120" s="73"/>
      <c r="AH120" s="73"/>
    </row>
    <row r="121" spans="2:34" hidden="1" x14ac:dyDescent="0.25">
      <c r="B121" s="1432" t="str">
        <f ca="1">SUBSTITUTE(D86,":","")</f>
        <v>Voorspellingen Finalewedstrijden</v>
      </c>
      <c r="C121" s="1432"/>
      <c r="D121" s="1432"/>
      <c r="E121" s="1432"/>
      <c r="F121" s="1432"/>
      <c r="G121" s="455">
        <f>IF($N$55="F1e",$AD$58,IF($N$55="F2e",$AE$58,IF($N$55="F3e",$AF$58,999)))</f>
        <v>45</v>
      </c>
      <c r="H121" s="335">
        <f>T92</f>
        <v>45</v>
      </c>
      <c r="I121" s="335">
        <f>T95</f>
        <v>0</v>
      </c>
      <c r="J121" s="335">
        <f>T93+T94</f>
        <v>0</v>
      </c>
      <c r="K121" s="335" t="str">
        <f>T96</f>
        <v>LEEG</v>
      </c>
      <c r="L121" s="336"/>
      <c r="M121" s="337"/>
      <c r="N121" s="336"/>
      <c r="O121" s="73"/>
      <c r="P121" s="326"/>
      <c r="Q121" s="326"/>
      <c r="R121" s="326"/>
      <c r="S121" s="327"/>
      <c r="T121" s="326"/>
      <c r="U121" s="326"/>
      <c r="V121" s="326"/>
      <c r="W121" s="326"/>
      <c r="X121" s="326"/>
      <c r="Y121" s="326"/>
      <c r="Z121" s="328" t="str">
        <f ca="1">IF(Y117&lt;23,B116,"")</f>
        <v/>
      </c>
      <c r="AA121" s="73"/>
      <c r="AB121" s="73"/>
      <c r="AC121" s="73"/>
      <c r="AD121" s="73"/>
      <c r="AE121" s="73"/>
      <c r="AF121" s="73"/>
      <c r="AG121" s="73"/>
      <c r="AH121" s="73"/>
    </row>
    <row r="122" spans="2:34" hidden="1" x14ac:dyDescent="0.25">
      <c r="B122" s="1432" t="str">
        <f ca="1">SUBSTITUTE(D94,":","")</f>
        <v>Voorspelling Winnaar EURO 2024</v>
      </c>
      <c r="C122" s="1432"/>
      <c r="D122" s="1432"/>
      <c r="E122" s="1432"/>
      <c r="F122" s="1432"/>
      <c r="G122" s="335">
        <v>1</v>
      </c>
      <c r="H122" s="335">
        <f>IF(K122="LEEG",1,0)</f>
        <v>1</v>
      </c>
      <c r="I122" s="335">
        <f>IF(K122="GOED",1,0)</f>
        <v>0</v>
      </c>
      <c r="J122" s="335">
        <f>IF(K122="FOUT",1,0)</f>
        <v>0</v>
      </c>
      <c r="K122" s="335" t="str">
        <f>T102</f>
        <v>LEEG</v>
      </c>
      <c r="L122" s="337"/>
      <c r="M122" s="337"/>
      <c r="N122" s="336"/>
      <c r="O122" s="73"/>
      <c r="P122" s="73"/>
      <c r="Q122" s="73"/>
      <c r="R122" s="73"/>
      <c r="S122" s="73"/>
      <c r="T122" s="73"/>
      <c r="U122" s="73"/>
      <c r="V122" s="73"/>
      <c r="W122" s="73"/>
      <c r="X122" s="73"/>
      <c r="Y122" s="73"/>
      <c r="Z122" s="327" t="str">
        <f ca="1">IF(Y117&lt;22,B116,"")</f>
        <v/>
      </c>
      <c r="AA122" s="73"/>
      <c r="AB122" s="73"/>
      <c r="AC122" s="73"/>
      <c r="AD122" s="73"/>
      <c r="AE122" s="73"/>
      <c r="AF122" s="73"/>
      <c r="AG122" s="73"/>
      <c r="AH122" s="73"/>
    </row>
    <row r="123" spans="2:34" hidden="1" x14ac:dyDescent="0.25">
      <c r="B123" s="1432" t="str">
        <f ca="1">SUBSTITUTE(D100,":","")</f>
        <v>Bonusvragen</v>
      </c>
      <c r="C123" s="1432"/>
      <c r="D123" s="1432"/>
      <c r="E123" s="1432"/>
      <c r="F123" s="1432"/>
      <c r="G123" s="335">
        <f>IF(T111="NVT",0,15)</f>
        <v>15</v>
      </c>
      <c r="H123" s="335">
        <f>IF(T111="NVT",0,T108)</f>
        <v>15</v>
      </c>
      <c r="I123" s="335">
        <f>IF(T111="NVT",0,T110)</f>
        <v>0</v>
      </c>
      <c r="J123" s="335">
        <f>IF(T111="NVT",0,T109)</f>
        <v>0</v>
      </c>
      <c r="K123" s="335" t="str">
        <f>IF(T111="NVT","GOED",T111)</f>
        <v>LEEG</v>
      </c>
      <c r="L123" s="338" t="s">
        <v>401</v>
      </c>
      <c r="M123" s="336"/>
      <c r="N123" s="336"/>
      <c r="O123" s="73"/>
      <c r="P123" s="1450">
        <f ca="1">LEN(S123)/3</f>
        <v>27</v>
      </c>
      <c r="Q123" s="1450"/>
      <c r="R123" s="1450"/>
      <c r="S123" s="1431"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100111112999200211212999250261262999300311312999400411412999500511512999999999999</v>
      </c>
      <c r="T123" s="1431"/>
      <c r="U123" s="1431"/>
      <c r="V123" s="1431"/>
      <c r="W123" s="1431"/>
      <c r="X123" s="1431"/>
      <c r="Y123" s="1431"/>
      <c r="Z123" s="1431"/>
      <c r="AA123" s="73"/>
      <c r="AB123" s="73"/>
      <c r="AC123" s="73"/>
      <c r="AD123" s="73"/>
      <c r="AE123" s="73"/>
      <c r="AF123" s="73"/>
      <c r="AG123" s="73"/>
      <c r="AH123" s="73"/>
    </row>
    <row r="124" spans="2:34" hidden="1" x14ac:dyDescent="0.25">
      <c r="B124" s="1432" t="str">
        <f ca="1">SUBSTITUTE(D108,":","")</f>
        <v>Teams</v>
      </c>
      <c r="C124" s="1432"/>
      <c r="D124" s="1432"/>
      <c r="E124" s="1432"/>
      <c r="F124" s="1432"/>
      <c r="G124" s="335">
        <f>IF(T116="NVT",0,1)</f>
        <v>0</v>
      </c>
      <c r="H124" s="335">
        <f>IF(T116="NVT",0,0)</f>
        <v>0</v>
      </c>
      <c r="I124" s="335">
        <f>IF(T116="NVT",0,IF(T116="GOED",1,0))</f>
        <v>0</v>
      </c>
      <c r="J124" s="335">
        <f>IF(T116="NVT",0,IF(T116="GOED",0,1))</f>
        <v>0</v>
      </c>
      <c r="K124" s="335" t="str">
        <f>IF(T116="NVT","GOED",IF(T116="GOED","GOED","FOUT"))</f>
        <v>GOED</v>
      </c>
      <c r="L124" s="338" t="s">
        <v>402</v>
      </c>
      <c r="M124" s="337"/>
      <c r="N124" s="336"/>
      <c r="O124" s="73"/>
      <c r="P124" s="1022"/>
      <c r="Q124" s="1022"/>
      <c r="R124" s="1022"/>
      <c r="S124" s="1431"/>
      <c r="T124" s="1431"/>
      <c r="U124" s="1431"/>
      <c r="V124" s="1431"/>
      <c r="W124" s="1431"/>
      <c r="X124" s="1431"/>
      <c r="Y124" s="1431"/>
      <c r="Z124" s="1431"/>
      <c r="AA124" s="73"/>
      <c r="AB124" s="73"/>
      <c r="AC124" s="73"/>
      <c r="AD124" s="73"/>
      <c r="AE124" s="73"/>
      <c r="AF124" s="73"/>
      <c r="AG124" s="73"/>
      <c r="AH124" s="73"/>
    </row>
    <row r="125" spans="2:34" hidden="1" x14ac:dyDescent="0.25">
      <c r="B125" s="1432" t="s">
        <v>322</v>
      </c>
      <c r="C125" s="1432"/>
      <c r="D125" s="1432"/>
      <c r="E125" s="1432"/>
      <c r="F125" s="1432"/>
      <c r="G125" s="335">
        <f>SUM(G118:G124)</f>
        <v>123</v>
      </c>
      <c r="H125" s="335">
        <f ca="1">SUM(H118:H124)</f>
        <v>123</v>
      </c>
      <c r="I125" s="335">
        <f ca="1">SUM(I118:I124)</f>
        <v>0</v>
      </c>
      <c r="J125" s="335">
        <f ca="1">SUM(J118:J124)</f>
        <v>0</v>
      </c>
      <c r="K125" s="335">
        <f ca="1">COUNTIF(K118:K124,"GOED")</f>
        <v>1</v>
      </c>
      <c r="L125" s="338" t="s">
        <v>403</v>
      </c>
      <c r="M125" s="337"/>
      <c r="N125" s="337"/>
      <c r="O125" s="89"/>
      <c r="P125" s="89"/>
      <c r="Q125" s="89"/>
      <c r="R125" s="89"/>
      <c r="S125" s="339"/>
      <c r="T125" s="89"/>
      <c r="U125" s="89"/>
      <c r="V125" s="89"/>
      <c r="W125" s="89"/>
      <c r="X125" s="89"/>
      <c r="Y125" s="89"/>
      <c r="Z125" s="89"/>
      <c r="AA125" s="89"/>
      <c r="AB125" s="89"/>
      <c r="AC125" s="89"/>
      <c r="AD125" s="89"/>
      <c r="AE125" s="89"/>
      <c r="AF125" s="89"/>
      <c r="AG125" s="89"/>
      <c r="AH125" s="89"/>
    </row>
    <row r="126" spans="2:34" ht="15" hidden="1" customHeight="1" x14ac:dyDescent="0.25">
      <c r="B126" s="337" t="s">
        <v>404</v>
      </c>
      <c r="C126" s="337"/>
      <c r="D126" s="337"/>
      <c r="E126" s="337"/>
      <c r="F126" s="2"/>
      <c r="G126" s="337"/>
      <c r="H126" s="337"/>
      <c r="I126" s="337"/>
      <c r="J126" s="337"/>
      <c r="K126" s="336">
        <f ca="1">IF(AND(G125=I125,H125=0,J125=0,K125=7),1,IF(H125&gt;0,IF(J125&gt;0,4,2),3))</f>
        <v>2</v>
      </c>
      <c r="L126" s="338" t="s">
        <v>405</v>
      </c>
      <c r="M126" s="337"/>
      <c r="N126" s="337"/>
      <c r="O126" s="89"/>
      <c r="P126" s="89"/>
      <c r="Q126" s="89"/>
      <c r="R126" s="1442" t="s">
        <v>173</v>
      </c>
      <c r="S126" s="1442"/>
      <c r="T126" s="1442"/>
      <c r="U126" s="1442"/>
      <c r="V126" s="1442"/>
      <c r="W126" s="1442"/>
      <c r="X126" s="1442"/>
      <c r="Y126" s="1442"/>
      <c r="Z126" s="89"/>
      <c r="AA126" s="560"/>
      <c r="AB126" s="560"/>
      <c r="AC126" s="560"/>
      <c r="AD126" s="560"/>
      <c r="AE126" s="560"/>
      <c r="AF126" s="560"/>
      <c r="AG126" s="560"/>
      <c r="AH126" s="89"/>
    </row>
    <row r="127" spans="2:34" ht="15" hidden="1" customHeight="1" x14ac:dyDescent="0.25">
      <c r="B127" s="340" t="s">
        <v>406</v>
      </c>
      <c r="C127" s="341"/>
      <c r="D127" s="341"/>
      <c r="E127" s="341"/>
      <c r="F127" s="341"/>
      <c r="G127" s="341"/>
      <c r="H127" s="341"/>
      <c r="I127" s="341"/>
      <c r="J127" s="341"/>
      <c r="K127" s="341"/>
      <c r="L127" s="341"/>
      <c r="M127" s="341"/>
      <c r="N127" s="341"/>
      <c r="O127" s="89"/>
      <c r="P127" s="89"/>
      <c r="Q127" s="89"/>
      <c r="R127" s="1442"/>
      <c r="S127" s="1442"/>
      <c r="T127" s="1442"/>
      <c r="U127" s="1442"/>
      <c r="V127" s="1442"/>
      <c r="W127" s="1442"/>
      <c r="X127" s="1442"/>
      <c r="Y127" s="1442"/>
      <c r="Z127" s="89"/>
      <c r="AA127" s="560"/>
      <c r="AB127" s="561" t="s">
        <v>588</v>
      </c>
      <c r="AC127" s="560"/>
      <c r="AD127" s="560"/>
      <c r="AE127" s="560"/>
      <c r="AF127" s="560"/>
      <c r="AG127" s="560"/>
      <c r="AH127" s="89"/>
    </row>
    <row r="128" spans="2:34" hidden="1" x14ac:dyDescent="0.25">
      <c r="B128" s="1443" t="str">
        <f ca="1">IF(K125&lt;4,Taal04!$B$231,Taal04!$B$230)</f>
        <v>De deelnamecode kan niet worden gegenereerd door het ontbreken van gegevens of foutieve waarden. Het gaat om de volgende onderdelen</v>
      </c>
      <c r="C128" s="1444"/>
      <c r="D128" s="1444"/>
      <c r="E128" s="1444"/>
      <c r="F128" s="1444"/>
      <c r="G128" s="1444"/>
      <c r="H128" s="1444"/>
      <c r="I128" s="1444"/>
      <c r="J128" s="1444"/>
      <c r="K128" s="1444"/>
      <c r="L128" s="1444"/>
      <c r="M128" s="1445"/>
      <c r="N128" s="341"/>
      <c r="O128" s="89"/>
      <c r="P128" s="89"/>
      <c r="Q128" s="89"/>
      <c r="R128" s="1453" t="s">
        <v>303</v>
      </c>
      <c r="S128" s="1453"/>
      <c r="T128" s="1453"/>
      <c r="U128" s="1453"/>
      <c r="V128" s="1453"/>
      <c r="W128" s="1454"/>
      <c r="X128" s="110">
        <f>Reglement!Q81</f>
        <v>1</v>
      </c>
      <c r="Y128" s="142"/>
      <c r="Z128" s="89"/>
      <c r="AA128" s="560"/>
      <c r="AB128" s="1446" t="str">
        <f ca="1">Taal04!B233</f>
        <v>Dit deelname formulier betreft een demo-versie voor het EK 2024 in Duitsland. Het generenen van een deelnamecode is hierin uitgeschakeld ongeacht of alle onderdelen juist zijn ingevuld.</v>
      </c>
      <c r="AC128" s="1446"/>
      <c r="AD128" s="1446"/>
      <c r="AE128" s="1446"/>
      <c r="AF128" s="1446"/>
      <c r="AG128" s="560"/>
      <c r="AH128" s="89"/>
    </row>
    <row r="129" spans="2:34" hidden="1" x14ac:dyDescent="0.25">
      <c r="B129" s="1443" t="str">
        <f>": "</f>
        <v xml:space="preserve">: </v>
      </c>
      <c r="C129" s="1444"/>
      <c r="D129" s="1444"/>
      <c r="E129" s="1444"/>
      <c r="F129" s="1444"/>
      <c r="G129" s="1444"/>
      <c r="H129" s="1444"/>
      <c r="I129" s="1444"/>
      <c r="J129" s="1444"/>
      <c r="K129" s="1444"/>
      <c r="L129" s="1444"/>
      <c r="M129" s="1445"/>
      <c r="N129" s="341"/>
      <c r="O129" s="89"/>
      <c r="P129" s="89"/>
      <c r="Q129" s="89"/>
      <c r="R129" s="1448" t="str">
        <f ca="1">Taal04!B232</f>
        <v>De deelnamecode kan niet worden gegenereerd door het ontbreken van het reglement. Vraag uw organisator om het reglement toe te voegen aan uw deelname formulier.</v>
      </c>
      <c r="S129" s="1448"/>
      <c r="T129" s="1448"/>
      <c r="U129" s="1448"/>
      <c r="V129" s="1448"/>
      <c r="W129" s="1448"/>
      <c r="X129" s="1448"/>
      <c r="Y129" s="1448"/>
      <c r="Z129" s="89"/>
      <c r="AA129" s="560"/>
      <c r="AB129" s="1446"/>
      <c r="AC129" s="1446"/>
      <c r="AD129" s="1446"/>
      <c r="AE129" s="1446"/>
      <c r="AF129" s="1446"/>
      <c r="AG129" s="560"/>
      <c r="AH129" s="89"/>
    </row>
    <row r="130" spans="2:34" ht="15" hidden="1" customHeight="1" x14ac:dyDescent="0.25">
      <c r="B130" s="1451" t="str">
        <f ca="1">IF(K118="GOED","",B118)</f>
        <v>Gegevens Deelnemer</v>
      </c>
      <c r="C130" s="1451"/>
      <c r="D130" s="1451"/>
      <c r="E130" s="1451"/>
      <c r="F130" s="1451"/>
      <c r="G130" s="1451"/>
      <c r="H130" s="54" t="str">
        <f ca="1">IF(B130="","",IF(AND(B131="",B132="",I130="",I131="",I132="",I133=""),"",", "))</f>
        <v xml:space="preserve">, </v>
      </c>
      <c r="I130" s="1451" t="str">
        <f ca="1">IF(K121="GOED","",B121)</f>
        <v>Voorspellingen Finalewedstrijden</v>
      </c>
      <c r="J130" s="1451"/>
      <c r="K130" s="1451"/>
      <c r="L130" s="1451"/>
      <c r="M130" s="54" t="str">
        <f ca="1">IF(I130="","",IF(AND(I131="",I132="",I133=""),"",", "))</f>
        <v xml:space="preserve">, </v>
      </c>
      <c r="N130" s="341"/>
      <c r="O130" s="89"/>
      <c r="P130" s="89"/>
      <c r="Q130" s="89"/>
      <c r="R130" s="1448"/>
      <c r="S130" s="1448"/>
      <c r="T130" s="1448"/>
      <c r="U130" s="1448"/>
      <c r="V130" s="1448"/>
      <c r="W130" s="1448"/>
      <c r="X130" s="1448"/>
      <c r="Y130" s="1448"/>
      <c r="Z130" s="89"/>
      <c r="AA130" s="560"/>
      <c r="AB130" s="1446"/>
      <c r="AC130" s="1446"/>
      <c r="AD130" s="1446"/>
      <c r="AE130" s="1446"/>
      <c r="AF130" s="1446"/>
      <c r="AG130" s="560"/>
      <c r="AH130" s="89"/>
    </row>
    <row r="131" spans="2:34" ht="15" hidden="1" customHeight="1" x14ac:dyDescent="0.25">
      <c r="B131" s="1451" t="str">
        <f ca="1">IF(K119="GOED","",B119)</f>
        <v>Voorspellingen Groepswedstrijden</v>
      </c>
      <c r="C131" s="1451"/>
      <c r="D131" s="1451"/>
      <c r="E131" s="1451"/>
      <c r="F131" s="1451"/>
      <c r="G131" s="1451"/>
      <c r="H131" s="54" t="str">
        <f ca="1">IF(B131="","",IF(AND(B132="",I130="",I131="",I132="",I133=""),"",", "))</f>
        <v xml:space="preserve">, </v>
      </c>
      <c r="I131" s="1451" t="str">
        <f ca="1">IF(K122="GOED","",B122)</f>
        <v>Voorspelling Winnaar EURO 2024</v>
      </c>
      <c r="J131" s="1451"/>
      <c r="K131" s="1451"/>
      <c r="L131" s="1451"/>
      <c r="M131" s="54" t="str">
        <f ca="1">IF(I131="","",IF(AND(I132="",I133=""),"",", "))</f>
        <v xml:space="preserve">, </v>
      </c>
      <c r="N131" s="341"/>
      <c r="O131" s="89"/>
      <c r="P131" s="89"/>
      <c r="Q131" s="89"/>
      <c r="R131" s="81"/>
      <c r="S131" s="81"/>
      <c r="T131" s="81"/>
      <c r="U131" s="81"/>
      <c r="V131" s="81"/>
      <c r="W131" s="81"/>
      <c r="X131" s="81"/>
      <c r="Y131" s="81"/>
      <c r="Z131" s="89"/>
      <c r="AA131" s="560"/>
      <c r="AB131" s="1446"/>
      <c r="AC131" s="1446"/>
      <c r="AD131" s="1446"/>
      <c r="AE131" s="1446"/>
      <c r="AF131" s="1446"/>
      <c r="AG131" s="560"/>
      <c r="AH131" s="89"/>
    </row>
    <row r="132" spans="2:34" hidden="1" x14ac:dyDescent="0.25">
      <c r="B132" s="1451" t="str">
        <f ca="1">IF(K120="GOED","",B120)</f>
        <v>Voorspellingen Eindstand in de Groep</v>
      </c>
      <c r="C132" s="1451"/>
      <c r="D132" s="1451"/>
      <c r="E132" s="1451"/>
      <c r="F132" s="1451"/>
      <c r="G132" s="1451"/>
      <c r="H132" s="54" t="str">
        <f ca="1">IF(B132="","",IF(AND(I130="",I131="",I132="",I133=""),"",", "))</f>
        <v xml:space="preserve">, </v>
      </c>
      <c r="I132" s="1451" t="str">
        <f ca="1">IF(K123="GOED","",B123)</f>
        <v>Bonusvragen</v>
      </c>
      <c r="J132" s="1451"/>
      <c r="K132" s="1451"/>
      <c r="L132" s="1451"/>
      <c r="M132" s="54" t="str">
        <f ca="1">IF(I132="","",IF(I133="","",", "))</f>
        <v/>
      </c>
      <c r="N132" s="341"/>
      <c r="O132" s="89"/>
      <c r="P132" s="89"/>
      <c r="Q132" s="89"/>
      <c r="R132" s="1452" t="s">
        <v>149</v>
      </c>
      <c r="S132" s="1452"/>
      <c r="T132" s="1452"/>
      <c r="U132" s="1452"/>
      <c r="V132" s="1452"/>
      <c r="W132" s="1452"/>
      <c r="X132" s="1452"/>
      <c r="Y132" s="1452"/>
      <c r="Z132" s="89"/>
      <c r="AA132" s="560"/>
      <c r="AB132" s="560"/>
      <c r="AC132" s="560"/>
      <c r="AD132" s="560"/>
      <c r="AE132" s="560"/>
      <c r="AF132" s="560"/>
      <c r="AG132" s="560"/>
      <c r="AH132" s="89"/>
    </row>
    <row r="133" spans="2:34" ht="15" hidden="1" customHeight="1" x14ac:dyDescent="0.25">
      <c r="B133" s="341"/>
      <c r="C133" s="341"/>
      <c r="D133" s="341"/>
      <c r="E133" s="341"/>
      <c r="F133" s="341"/>
      <c r="G133" s="341"/>
      <c r="H133" s="341"/>
      <c r="I133" s="1451" t="str">
        <f>IF(K124="GOED","",B124)</f>
        <v/>
      </c>
      <c r="J133" s="1451"/>
      <c r="K133" s="1451"/>
      <c r="L133" s="1451"/>
      <c r="M133" s="54" t="s">
        <v>407</v>
      </c>
      <c r="N133" s="341"/>
      <c r="O133" s="89"/>
      <c r="P133" s="89"/>
      <c r="Q133" s="89"/>
      <c r="R133" s="1452"/>
      <c r="S133" s="1452"/>
      <c r="T133" s="1452"/>
      <c r="U133" s="1452"/>
      <c r="V133" s="1452"/>
      <c r="W133" s="1452"/>
      <c r="X133" s="1452"/>
      <c r="Y133" s="1452"/>
      <c r="Z133" s="89"/>
      <c r="AA133" s="560"/>
      <c r="AB133" s="561" t="s">
        <v>1256</v>
      </c>
      <c r="AC133" s="560"/>
      <c r="AD133" s="560"/>
      <c r="AE133" s="560"/>
      <c r="AF133" s="110">
        <f>Reglement!$G$140</f>
        <v>2</v>
      </c>
      <c r="AG133" s="560"/>
      <c r="AH133" s="89"/>
    </row>
    <row r="134" spans="2:34" hidden="1" x14ac:dyDescent="0.25">
      <c r="B134" s="340" t="s">
        <v>2242</v>
      </c>
      <c r="C134" s="341"/>
      <c r="D134" s="341"/>
      <c r="E134" s="341"/>
      <c r="F134" s="341"/>
      <c r="G134" s="341"/>
      <c r="H134" s="341"/>
      <c r="I134" s="341"/>
      <c r="J134" s="341"/>
      <c r="K134" s="341"/>
      <c r="L134" s="341"/>
      <c r="M134" s="341"/>
      <c r="N134" s="341"/>
      <c r="O134" s="89"/>
      <c r="P134" s="89"/>
      <c r="Q134" s="89"/>
      <c r="R134" s="345"/>
      <c r="S134" s="345"/>
      <c r="T134" s="345"/>
      <c r="U134" s="345"/>
      <c r="V134" s="110" t="str">
        <f>"|"&amp;RIGHT(O48,2)</f>
        <v>|hd</v>
      </c>
      <c r="W134" s="81"/>
      <c r="X134" s="81"/>
      <c r="Y134" s="81"/>
      <c r="Z134" s="89"/>
      <c r="AA134" s="560"/>
      <c r="AB134" s="899" t="str">
        <f ca="1">V134&amp;T69&amp;IF(T86="NVT","",T79)&amp;T89&amp;T99&amp;T62&amp;"|"&amp;IF(T111="NVT","",T105)&amp;IF(AD66="GOED",AD62&amp;"]","")</f>
        <v>|hd|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AC134" s="899"/>
      <c r="AD134" s="899"/>
      <c r="AE134" s="560"/>
      <c r="AF134" s="560"/>
      <c r="AG134" s="560"/>
      <c r="AH134" s="89"/>
    </row>
    <row r="135" spans="2:34" hidden="1" x14ac:dyDescent="0.25">
      <c r="B135" s="1443" t="str">
        <f ca="1">IF(OR(F134=1,AF133=3),AB128,V134&amp;T69&amp;IF(T86="NVT","",T79)&amp;T89&amp;T99&amp;T62&amp;"|"&amp;IF(T111="NVT","",T105)&amp;IF(AD66="GOED",AD62&amp;"]","")&amp;IF(T116="NVT","",T114)&amp;IF(AF133=0,"BETA",""))</f>
        <v>|hd|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C135" s="1444"/>
      <c r="D135" s="1444"/>
      <c r="E135" s="1444"/>
      <c r="F135" s="1444"/>
      <c r="G135" s="1444"/>
      <c r="H135" s="1444"/>
      <c r="I135" s="1444"/>
      <c r="J135" s="1444"/>
      <c r="K135" s="1444"/>
      <c r="L135" s="1444"/>
      <c r="M135" s="1444"/>
      <c r="N135" s="1445"/>
      <c r="O135" s="89"/>
      <c r="P135" s="89"/>
      <c r="Q135" s="89"/>
      <c r="R135" s="81"/>
      <c r="S135" s="81"/>
      <c r="T135" s="81"/>
      <c r="U135" s="81"/>
      <c r="V135" s="81"/>
      <c r="W135" s="81"/>
      <c r="X135" s="81"/>
      <c r="Y135" s="81"/>
      <c r="Z135" s="89"/>
      <c r="AA135" s="560"/>
      <c r="AB135" s="560"/>
      <c r="AC135" s="560"/>
      <c r="AD135" s="560"/>
      <c r="AE135" s="560"/>
      <c r="AF135" s="562" t="s">
        <v>932</v>
      </c>
      <c r="AG135" s="560"/>
      <c r="AH135" s="89"/>
    </row>
    <row r="136" spans="2:34" hidden="1" x14ac:dyDescent="0.25">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560"/>
      <c r="AB136" s="560"/>
      <c r="AC136" s="560"/>
      <c r="AD136" s="560"/>
      <c r="AE136" s="560"/>
      <c r="AF136" s="560"/>
      <c r="AG136" s="560"/>
      <c r="AH136" s="89"/>
    </row>
    <row r="137" spans="2:34" hidden="1" x14ac:dyDescent="0.25">
      <c r="B137" s="89"/>
      <c r="C137" s="5" t="str">
        <f ca="1">E40</f>
        <v>De deelnamecode kan niet worden gegenereerd door het ontbreken van gegevens of foutieve waarden. Het gaat om de volgende onderdelen: Gegevens Deelnemer, Voorspellingen Groepswedstrijden, Voorspellingen Eindstand in de Groep, Voorspellingen Finalewedstrijden, Voorspelling Winnaar EURO 2024, Bonusvragen.</v>
      </c>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dc0bUj/ORiLmkTGiMPjjEGLXeGrfIGTIVWODJzIdR3miMGolJtHKPR0zHS8DPpMeY4KDVrTC08YRUvtV5wvAPg==" saltValue="P4N8d8rm+JkNYHFo3grHuQ=="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66" customWidth="1"/>
    <col min="2" max="2" width="10.7109375" style="566" customWidth="1"/>
    <col min="3" max="19" width="20.7109375" customWidth="1"/>
    <col min="20" max="24" width="50.7109375" customWidth="1"/>
  </cols>
  <sheetData>
    <row r="1" spans="1:6" s="593" customFormat="1" x14ac:dyDescent="0.25">
      <c r="A1" s="594" t="s">
        <v>643</v>
      </c>
      <c r="C1" s="595">
        <f>Taal01!$C$1</f>
        <v>1</v>
      </c>
      <c r="D1" s="903"/>
    </row>
    <row r="2" spans="1:6" s="593" customFormat="1" x14ac:dyDescent="0.25">
      <c r="A2" s="594" t="s">
        <v>644</v>
      </c>
      <c r="C2" s="595">
        <f>$C$1+2</f>
        <v>3</v>
      </c>
      <c r="D2" s="903"/>
    </row>
    <row r="3" spans="1:6" s="568" customFormat="1" x14ac:dyDescent="0.25">
      <c r="A3" s="567" t="s">
        <v>590</v>
      </c>
      <c r="B3" s="876" t="s">
        <v>637</v>
      </c>
      <c r="C3" s="568" t="s">
        <v>591</v>
      </c>
      <c r="D3" s="568" t="s">
        <v>448</v>
      </c>
      <c r="E3" s="568" t="s">
        <v>447</v>
      </c>
      <c r="F3" s="568" t="s">
        <v>449</v>
      </c>
    </row>
    <row r="4" spans="1:6" s="570" customFormat="1" x14ac:dyDescent="0.25">
      <c r="A4" s="569"/>
      <c r="B4" s="877"/>
    </row>
    <row r="5" spans="1:6" s="571" customFormat="1" x14ac:dyDescent="0.25">
      <c r="A5" s="574" t="s">
        <v>925</v>
      </c>
      <c r="B5" s="878"/>
    </row>
    <row r="6" spans="1:6" s="570" customFormat="1" x14ac:dyDescent="0.25">
      <c r="A6" s="573" t="str">
        <f>"02-B-001"</f>
        <v>02-B-001</v>
      </c>
      <c r="B6" s="879" t="str">
        <f t="shared" ref="B6:B45" ca="1" si="0">INDIRECT(CHAR(64+$C$2)&amp;ROW())</f>
        <v>Groep A</v>
      </c>
      <c r="C6" s="586" t="s">
        <v>9</v>
      </c>
      <c r="D6" s="586" t="s">
        <v>621</v>
      </c>
      <c r="E6" s="586" t="s">
        <v>1330</v>
      </c>
      <c r="F6" s="586" t="s">
        <v>1663</v>
      </c>
    </row>
    <row r="7" spans="1:6" s="584" customFormat="1" x14ac:dyDescent="0.25">
      <c r="A7" s="572" t="str">
        <f>LEFT(A6,5)&amp;RIGHT("000"&amp;RIGHT(A6,3)*1+1,3)</f>
        <v>02-B-002</v>
      </c>
      <c r="B7" s="880" t="str">
        <f t="shared" ca="1" si="0"/>
        <v>Duitsland</v>
      </c>
      <c r="C7" s="571" t="s">
        <v>1</v>
      </c>
      <c r="D7" s="571" t="s">
        <v>632</v>
      </c>
      <c r="E7" s="571" t="s">
        <v>1343</v>
      </c>
      <c r="F7" s="571" t="s">
        <v>1672</v>
      </c>
    </row>
    <row r="8" spans="1:6" s="570" customFormat="1" x14ac:dyDescent="0.25">
      <c r="A8" s="573" t="str">
        <f t="shared" ref="A8:A23" si="1">LEFT(A7,5)&amp;RIGHT("000"&amp;RIGHT(A7,3)*1+1,3)</f>
        <v>02-B-003</v>
      </c>
      <c r="B8" s="869" t="str">
        <f t="shared" ca="1" si="0"/>
        <v>Schotland</v>
      </c>
      <c r="C8" s="570" t="s">
        <v>2278</v>
      </c>
      <c r="D8" s="570" t="s">
        <v>2280</v>
      </c>
      <c r="E8" s="570" t="s">
        <v>2278</v>
      </c>
      <c r="F8" s="570" t="s">
        <v>2305</v>
      </c>
    </row>
    <row r="9" spans="1:6" s="571" customFormat="1" x14ac:dyDescent="0.25">
      <c r="A9" s="572" t="str">
        <f t="shared" si="1"/>
        <v>02-B-004</v>
      </c>
      <c r="B9" s="880" t="str">
        <f t="shared" ca="1" si="0"/>
        <v>Hongarije</v>
      </c>
      <c r="C9" s="571" t="s">
        <v>2279</v>
      </c>
      <c r="D9" s="571" t="s">
        <v>2281</v>
      </c>
      <c r="E9" s="571" t="s">
        <v>2294</v>
      </c>
      <c r="F9" s="571" t="s">
        <v>2306</v>
      </c>
    </row>
    <row r="10" spans="1:6" s="570" customFormat="1" x14ac:dyDescent="0.25">
      <c r="A10" s="573" t="str">
        <f t="shared" si="1"/>
        <v>02-B-005</v>
      </c>
      <c r="B10" s="869" t="str">
        <f t="shared" ca="1" si="0"/>
        <v>Zwitserland</v>
      </c>
      <c r="C10" s="570" t="s">
        <v>911</v>
      </c>
      <c r="D10" s="570" t="s">
        <v>630</v>
      </c>
      <c r="E10" s="570" t="s">
        <v>1331</v>
      </c>
      <c r="F10" s="570" t="s">
        <v>1331</v>
      </c>
    </row>
    <row r="11" spans="1:6" s="571" customFormat="1" x14ac:dyDescent="0.25">
      <c r="A11" s="572" t="str">
        <f t="shared" si="1"/>
        <v>02-B-006</v>
      </c>
      <c r="B11" s="866" t="str">
        <f t="shared" ca="1" si="0"/>
        <v>Groep B</v>
      </c>
      <c r="C11" s="584" t="s">
        <v>14</v>
      </c>
      <c r="D11" s="584" t="s">
        <v>622</v>
      </c>
      <c r="E11" s="584" t="s">
        <v>1332</v>
      </c>
      <c r="F11" s="584" t="s">
        <v>1664</v>
      </c>
    </row>
    <row r="12" spans="1:6" s="586" customFormat="1" x14ac:dyDescent="0.25">
      <c r="A12" s="585" t="str">
        <f t="shared" si="1"/>
        <v>02-B-007</v>
      </c>
      <c r="B12" s="869" t="str">
        <f t="shared" ca="1" si="0"/>
        <v>Spanje</v>
      </c>
      <c r="C12" s="570" t="s">
        <v>916</v>
      </c>
      <c r="D12" s="570" t="s">
        <v>623</v>
      </c>
      <c r="E12" s="570" t="s">
        <v>1340</v>
      </c>
      <c r="F12" s="570" t="s">
        <v>1340</v>
      </c>
    </row>
    <row r="13" spans="1:6" s="571" customFormat="1" x14ac:dyDescent="0.25">
      <c r="A13" s="572" t="str">
        <f t="shared" si="1"/>
        <v>02-B-008</v>
      </c>
      <c r="B13" s="880" t="str">
        <f t="shared" ca="1" si="0"/>
        <v>Kroatië</v>
      </c>
      <c r="C13" s="571" t="s">
        <v>915</v>
      </c>
      <c r="D13" s="571" t="s">
        <v>628</v>
      </c>
      <c r="E13" s="571" t="s">
        <v>1338</v>
      </c>
      <c r="F13" s="571" t="s">
        <v>1338</v>
      </c>
    </row>
    <row r="14" spans="1:6" s="570" customFormat="1" x14ac:dyDescent="0.25">
      <c r="A14" s="573" t="str">
        <f t="shared" si="1"/>
        <v>02-B-009</v>
      </c>
      <c r="B14" s="869" t="str">
        <f t="shared" ca="1" si="0"/>
        <v>Italië</v>
      </c>
      <c r="C14" s="570" t="s">
        <v>2282</v>
      </c>
      <c r="D14" s="570" t="s">
        <v>2283</v>
      </c>
      <c r="E14" s="570" t="s">
        <v>2295</v>
      </c>
      <c r="F14" s="570" t="s">
        <v>2295</v>
      </c>
    </row>
    <row r="15" spans="1:6" s="571" customFormat="1" x14ac:dyDescent="0.25">
      <c r="A15" s="572" t="str">
        <f t="shared" si="1"/>
        <v>02-B-010</v>
      </c>
      <c r="B15" s="880" t="str">
        <f t="shared" ca="1" si="0"/>
        <v>Albanië</v>
      </c>
      <c r="C15" s="576" t="s">
        <v>2284</v>
      </c>
      <c r="D15" s="576" t="s">
        <v>2285</v>
      </c>
      <c r="E15" s="576" t="s">
        <v>2296</v>
      </c>
      <c r="F15" s="576" t="s">
        <v>2296</v>
      </c>
    </row>
    <row r="16" spans="1:6" s="570" customFormat="1" x14ac:dyDescent="0.25">
      <c r="A16" s="573" t="str">
        <f t="shared" si="1"/>
        <v>02-B-011</v>
      </c>
      <c r="B16" s="879" t="str">
        <f t="shared" ca="1" si="0"/>
        <v>Groep C</v>
      </c>
      <c r="C16" s="586" t="s">
        <v>22</v>
      </c>
      <c r="D16" s="586" t="s">
        <v>624</v>
      </c>
      <c r="E16" s="586" t="s">
        <v>1335</v>
      </c>
      <c r="F16" s="586" t="s">
        <v>1666</v>
      </c>
    </row>
    <row r="17" spans="1:6" s="584" customFormat="1" x14ac:dyDescent="0.25">
      <c r="A17" s="583" t="str">
        <f t="shared" si="1"/>
        <v>02-B-012</v>
      </c>
      <c r="B17" s="880" t="str">
        <f t="shared" ca="1" si="0"/>
        <v>Slovenië</v>
      </c>
      <c r="C17" s="571" t="s">
        <v>2286</v>
      </c>
      <c r="D17" s="571" t="s">
        <v>2287</v>
      </c>
      <c r="E17" s="571" t="s">
        <v>2298</v>
      </c>
      <c r="F17" s="571" t="s">
        <v>2297</v>
      </c>
    </row>
    <row r="18" spans="1:6" s="570" customFormat="1" x14ac:dyDescent="0.25">
      <c r="A18" s="573" t="str">
        <f t="shared" si="1"/>
        <v>02-B-013</v>
      </c>
      <c r="B18" s="869" t="str">
        <f t="shared" ca="1" si="0"/>
        <v>Denemarken</v>
      </c>
      <c r="C18" s="570" t="s">
        <v>912</v>
      </c>
      <c r="D18" s="570" t="s">
        <v>626</v>
      </c>
      <c r="E18" s="570" t="s">
        <v>1333</v>
      </c>
      <c r="F18" s="570" t="s">
        <v>1665</v>
      </c>
    </row>
    <row r="19" spans="1:6" s="571" customFormat="1" x14ac:dyDescent="0.25">
      <c r="A19" s="572" t="str">
        <f t="shared" si="1"/>
        <v>02-B-014</v>
      </c>
      <c r="B19" s="880" t="str">
        <f t="shared" ca="1" si="0"/>
        <v>Servië</v>
      </c>
      <c r="C19" s="571" t="s">
        <v>1939</v>
      </c>
      <c r="D19" s="571" t="s">
        <v>1940</v>
      </c>
      <c r="E19" s="571" t="s">
        <v>1941</v>
      </c>
      <c r="F19" s="571" t="s">
        <v>1941</v>
      </c>
    </row>
    <row r="20" spans="1:6" s="570" customFormat="1" x14ac:dyDescent="0.25">
      <c r="A20" s="573" t="str">
        <f t="shared" si="1"/>
        <v>02-B-015</v>
      </c>
      <c r="B20" s="869" t="str">
        <f t="shared" ca="1" si="0"/>
        <v>Engeland</v>
      </c>
      <c r="C20" s="570" t="s">
        <v>914</v>
      </c>
      <c r="D20" s="570" t="s">
        <v>635</v>
      </c>
      <c r="E20" s="570" t="s">
        <v>635</v>
      </c>
      <c r="F20" s="570" t="s">
        <v>635</v>
      </c>
    </row>
    <row r="21" spans="1:6" s="571" customFormat="1" x14ac:dyDescent="0.25">
      <c r="A21" s="572" t="str">
        <f t="shared" si="1"/>
        <v>02-B-016</v>
      </c>
      <c r="B21" s="866" t="str">
        <f t="shared" ca="1" si="0"/>
        <v>Groep D</v>
      </c>
      <c r="C21" s="584" t="s">
        <v>23</v>
      </c>
      <c r="D21" s="584" t="s">
        <v>627</v>
      </c>
      <c r="E21" s="584" t="s">
        <v>1337</v>
      </c>
      <c r="F21" s="584" t="s">
        <v>1668</v>
      </c>
    </row>
    <row r="22" spans="1:6" s="586" customFormat="1" x14ac:dyDescent="0.25">
      <c r="A22" s="585" t="str">
        <f t="shared" si="1"/>
        <v>02-B-017</v>
      </c>
      <c r="B22" s="869" t="str">
        <f t="shared" ca="1" si="0"/>
        <v>Polen</v>
      </c>
      <c r="C22" s="570" t="s">
        <v>2562</v>
      </c>
      <c r="D22" s="570" t="s">
        <v>2563</v>
      </c>
      <c r="E22" s="570" t="s">
        <v>2562</v>
      </c>
      <c r="F22" s="570" t="s">
        <v>2562</v>
      </c>
    </row>
    <row r="23" spans="1:6" s="571" customFormat="1" x14ac:dyDescent="0.25">
      <c r="A23" s="572" t="str">
        <f t="shared" si="1"/>
        <v>02-B-018</v>
      </c>
      <c r="B23" s="880" t="str">
        <f t="shared" ca="1" si="0"/>
        <v>Nederland</v>
      </c>
      <c r="C23" s="571" t="s">
        <v>913</v>
      </c>
      <c r="D23" s="571" t="s">
        <v>910</v>
      </c>
      <c r="E23" s="571" t="s">
        <v>1336</v>
      </c>
      <c r="F23" s="571" t="s">
        <v>1667</v>
      </c>
    </row>
    <row r="24" spans="1:6" s="570" customFormat="1" x14ac:dyDescent="0.25">
      <c r="A24" s="573" t="str">
        <f>LEFT(A23,5)&amp;RIGHT("000"&amp;RIGHT(A23,3)*1+1,3)</f>
        <v>02-B-019</v>
      </c>
      <c r="B24" s="869" t="str">
        <f t="shared" ca="1" si="0"/>
        <v>Oostenrijk</v>
      </c>
      <c r="C24" s="570" t="s">
        <v>2321</v>
      </c>
      <c r="D24" s="570" t="s">
        <v>2318</v>
      </c>
      <c r="E24" s="570" t="s">
        <v>2319</v>
      </c>
      <c r="F24" s="570" t="s">
        <v>2320</v>
      </c>
    </row>
    <row r="25" spans="1:6" s="571" customFormat="1" x14ac:dyDescent="0.25">
      <c r="A25" s="572" t="str">
        <f t="shared" ref="A25:A41" si="2">LEFT(A24,5)&amp;RIGHT("000"&amp;RIGHT(A24,3)*1+1,3)</f>
        <v>02-B-020</v>
      </c>
      <c r="B25" s="880" t="str">
        <f t="shared" ca="1" si="0"/>
        <v>Frankrijk</v>
      </c>
      <c r="C25" s="571" t="s">
        <v>524</v>
      </c>
      <c r="D25" s="571" t="s">
        <v>625</v>
      </c>
      <c r="E25" s="571" t="s">
        <v>1342</v>
      </c>
      <c r="F25" s="571" t="s">
        <v>1671</v>
      </c>
    </row>
    <row r="26" spans="1:6" s="570" customFormat="1" x14ac:dyDescent="0.25">
      <c r="A26" s="573" t="str">
        <f t="shared" si="2"/>
        <v>02-B-021</v>
      </c>
      <c r="B26" s="879" t="str">
        <f t="shared" ca="1" si="0"/>
        <v>Groep E</v>
      </c>
      <c r="C26" s="586" t="s">
        <v>106</v>
      </c>
      <c r="D26" s="586" t="s">
        <v>629</v>
      </c>
      <c r="E26" s="586" t="s">
        <v>1339</v>
      </c>
      <c r="F26" s="586" t="s">
        <v>1669</v>
      </c>
    </row>
    <row r="27" spans="1:6" s="584" customFormat="1" x14ac:dyDescent="0.25">
      <c r="A27" s="583" t="str">
        <f t="shared" si="2"/>
        <v>02-B-022</v>
      </c>
      <c r="B27" s="880" t="str">
        <f t="shared" ca="1" si="0"/>
        <v>België</v>
      </c>
      <c r="C27" s="571" t="s">
        <v>522</v>
      </c>
      <c r="D27" s="571" t="s">
        <v>634</v>
      </c>
      <c r="E27" s="571" t="s">
        <v>1334</v>
      </c>
      <c r="F27" s="571" t="s">
        <v>1334</v>
      </c>
    </row>
    <row r="28" spans="1:6" s="570" customFormat="1" x14ac:dyDescent="0.25">
      <c r="A28" s="573" t="str">
        <f t="shared" si="2"/>
        <v>02-B-023</v>
      </c>
      <c r="B28" s="869" t="str">
        <f t="shared" ca="1" si="0"/>
        <v>Slowakije</v>
      </c>
      <c r="C28" s="575" t="s">
        <v>2289</v>
      </c>
      <c r="D28" s="575" t="s">
        <v>2288</v>
      </c>
      <c r="E28" s="575" t="s">
        <v>2299</v>
      </c>
      <c r="F28" s="575" t="s">
        <v>2307</v>
      </c>
    </row>
    <row r="29" spans="1:6" s="571" customFormat="1" x14ac:dyDescent="0.25">
      <c r="A29" s="572" t="str">
        <f t="shared" si="2"/>
        <v>02-B-024</v>
      </c>
      <c r="B29" s="880" t="str">
        <f t="shared" ca="1" si="0"/>
        <v>Roemenië</v>
      </c>
      <c r="C29" s="571" t="s">
        <v>2291</v>
      </c>
      <c r="D29" s="571" t="s">
        <v>2290</v>
      </c>
      <c r="E29" s="571" t="s">
        <v>2300</v>
      </c>
      <c r="F29" s="571" t="s">
        <v>2300</v>
      </c>
    </row>
    <row r="30" spans="1:6" s="570" customFormat="1" x14ac:dyDescent="0.25">
      <c r="A30" s="573" t="str">
        <f t="shared" si="2"/>
        <v>02-B-025</v>
      </c>
      <c r="B30" s="869" t="str">
        <f t="shared" ca="1" si="0"/>
        <v>Oekraïne</v>
      </c>
      <c r="C30" s="570" t="s">
        <v>2564</v>
      </c>
      <c r="D30" s="570" t="s">
        <v>2565</v>
      </c>
      <c r="E30" s="570" t="s">
        <v>2565</v>
      </c>
      <c r="F30" s="570" t="s">
        <v>2569</v>
      </c>
    </row>
    <row r="31" spans="1:6" s="571" customFormat="1" x14ac:dyDescent="0.25">
      <c r="A31" s="572" t="str">
        <f t="shared" si="2"/>
        <v>02-B-026</v>
      </c>
      <c r="B31" s="866" t="str">
        <f t="shared" ca="1" si="0"/>
        <v>Groep F</v>
      </c>
      <c r="C31" s="584" t="s">
        <v>107</v>
      </c>
      <c r="D31" s="584" t="s">
        <v>631</v>
      </c>
      <c r="E31" s="584" t="s">
        <v>1341</v>
      </c>
      <c r="F31" s="584" t="s">
        <v>1670</v>
      </c>
    </row>
    <row r="32" spans="1:6" s="586" customFormat="1" x14ac:dyDescent="0.25">
      <c r="A32" s="585" t="str">
        <f t="shared" si="2"/>
        <v>02-B-027</v>
      </c>
      <c r="B32" s="869" t="str">
        <f t="shared" ca="1" si="0"/>
        <v>Turkije</v>
      </c>
      <c r="C32" s="570" t="s">
        <v>2293</v>
      </c>
      <c r="D32" s="570" t="s">
        <v>2302</v>
      </c>
      <c r="E32" s="570" t="s">
        <v>2301</v>
      </c>
      <c r="F32" s="570" t="s">
        <v>2308</v>
      </c>
    </row>
    <row r="33" spans="1:6" s="571" customFormat="1" x14ac:dyDescent="0.25">
      <c r="A33" s="572" t="str">
        <f t="shared" si="2"/>
        <v>02-B-028</v>
      </c>
      <c r="B33" s="880" t="str">
        <f t="shared" ca="1" si="0"/>
        <v>Georgië</v>
      </c>
      <c r="C33" s="571" t="s">
        <v>2566</v>
      </c>
      <c r="D33" s="571" t="s">
        <v>2567</v>
      </c>
      <c r="E33" s="571" t="s">
        <v>2568</v>
      </c>
      <c r="F33" s="571" t="s">
        <v>2568</v>
      </c>
    </row>
    <row r="34" spans="1:6" s="570" customFormat="1" x14ac:dyDescent="0.25">
      <c r="A34" s="573" t="str">
        <f t="shared" si="2"/>
        <v>02-B-029</v>
      </c>
      <c r="B34" s="869" t="str">
        <f t="shared" ca="1" si="0"/>
        <v>Portugal</v>
      </c>
      <c r="C34" s="570" t="s">
        <v>525</v>
      </c>
      <c r="D34" s="570" t="s">
        <v>525</v>
      </c>
      <c r="E34" s="570" t="s">
        <v>525</v>
      </c>
      <c r="F34" s="570" t="s">
        <v>525</v>
      </c>
    </row>
    <row r="35" spans="1:6" s="571" customFormat="1" x14ac:dyDescent="0.25">
      <c r="A35" s="572" t="str">
        <f t="shared" si="2"/>
        <v>02-B-030</v>
      </c>
      <c r="B35" s="880" t="str">
        <f t="shared" ca="1" si="0"/>
        <v>Tsjechië</v>
      </c>
      <c r="C35" s="571" t="s">
        <v>2292</v>
      </c>
      <c r="D35" s="571" t="s">
        <v>2304</v>
      </c>
      <c r="E35" s="571" t="s">
        <v>2303</v>
      </c>
      <c r="F35" s="571" t="s">
        <v>2309</v>
      </c>
    </row>
    <row r="36" spans="1:6" s="570" customFormat="1" x14ac:dyDescent="0.25">
      <c r="A36" s="573" t="str">
        <f t="shared" si="2"/>
        <v>02-B-031</v>
      </c>
      <c r="B36" s="879" t="str">
        <f t="shared" ca="1" si="0"/>
        <v>Groep G</v>
      </c>
      <c r="C36" s="586" t="s">
        <v>108</v>
      </c>
      <c r="D36" s="586" t="s">
        <v>633</v>
      </c>
      <c r="E36" s="586" t="s">
        <v>1344</v>
      </c>
      <c r="F36" s="586" t="s">
        <v>1673</v>
      </c>
    </row>
    <row r="37" spans="1:6" s="584" customFormat="1" x14ac:dyDescent="0.25">
      <c r="A37" s="583" t="str">
        <f t="shared" si="2"/>
        <v>02-B-032</v>
      </c>
      <c r="B37" s="880" t="str">
        <f t="shared" ca="1" si="0"/>
        <v>ZZZ_land_G1</v>
      </c>
      <c r="C37" s="571" t="s">
        <v>2310</v>
      </c>
      <c r="D37" s="571" t="s">
        <v>2310</v>
      </c>
      <c r="E37" s="571" t="s">
        <v>2310</v>
      </c>
      <c r="F37" s="571" t="s">
        <v>2310</v>
      </c>
    </row>
    <row r="38" spans="1:6" s="570" customFormat="1" x14ac:dyDescent="0.25">
      <c r="A38" s="573" t="str">
        <f t="shared" si="2"/>
        <v>02-B-033</v>
      </c>
      <c r="B38" s="869" t="str">
        <f t="shared" ca="1" si="0"/>
        <v>ZZZ_land_G2</v>
      </c>
      <c r="C38" s="570" t="s">
        <v>2311</v>
      </c>
      <c r="D38" s="570" t="s">
        <v>2311</v>
      </c>
      <c r="E38" s="570" t="s">
        <v>2311</v>
      </c>
      <c r="F38" s="570" t="s">
        <v>2311</v>
      </c>
    </row>
    <row r="39" spans="1:6" s="571" customFormat="1" x14ac:dyDescent="0.25">
      <c r="A39" s="572" t="str">
        <f t="shared" si="2"/>
        <v>02-B-034</v>
      </c>
      <c r="B39" s="880" t="str">
        <f t="shared" ca="1" si="0"/>
        <v>ZZZ_land_G3</v>
      </c>
      <c r="C39" s="571" t="s">
        <v>2312</v>
      </c>
      <c r="D39" s="571" t="s">
        <v>2312</v>
      </c>
      <c r="E39" s="571" t="s">
        <v>2312</v>
      </c>
      <c r="F39" s="571" t="s">
        <v>2312</v>
      </c>
    </row>
    <row r="40" spans="1:6" s="570" customFormat="1" x14ac:dyDescent="0.25">
      <c r="A40" s="573" t="str">
        <f t="shared" si="2"/>
        <v>02-B-035</v>
      </c>
      <c r="B40" s="869" t="str">
        <f t="shared" ca="1" si="0"/>
        <v>ZZZ_land_G4</v>
      </c>
      <c r="C40" s="570" t="s">
        <v>2313</v>
      </c>
      <c r="D40" s="570" t="s">
        <v>2313</v>
      </c>
      <c r="E40" s="570" t="s">
        <v>2313</v>
      </c>
      <c r="F40" s="570" t="s">
        <v>2313</v>
      </c>
    </row>
    <row r="41" spans="1:6" s="571" customFormat="1" x14ac:dyDescent="0.25">
      <c r="A41" s="572" t="str">
        <f t="shared" si="2"/>
        <v>02-B-036</v>
      </c>
      <c r="B41" s="866" t="str">
        <f t="shared" ca="1" si="0"/>
        <v>Groep H</v>
      </c>
      <c r="C41" s="584" t="s">
        <v>109</v>
      </c>
      <c r="D41" s="584" t="s">
        <v>636</v>
      </c>
      <c r="E41" s="584" t="s">
        <v>1345</v>
      </c>
      <c r="F41" s="584" t="s">
        <v>109</v>
      </c>
    </row>
    <row r="42" spans="1:6" s="570" customFormat="1" x14ac:dyDescent="0.25">
      <c r="A42" s="573" t="str">
        <f>LEFT(A41,5)&amp;RIGHT("000"&amp;RIGHT(A41,3)*1+1,3)</f>
        <v>02-B-037</v>
      </c>
      <c r="B42" s="869" t="str">
        <f t="shared" ca="1" si="0"/>
        <v>ZZZ_land_H1</v>
      </c>
      <c r="C42" s="570" t="s">
        <v>2314</v>
      </c>
      <c r="D42" s="570" t="s">
        <v>2314</v>
      </c>
      <c r="E42" s="570" t="s">
        <v>2314</v>
      </c>
      <c r="F42" s="570" t="s">
        <v>2314</v>
      </c>
    </row>
    <row r="43" spans="1:6" s="571" customFormat="1" x14ac:dyDescent="0.25">
      <c r="A43" s="572" t="str">
        <f t="shared" ref="A43:A89" si="3">LEFT(A42,5)&amp;RIGHT("000"&amp;RIGHT(A42,3)*1+1,3)</f>
        <v>02-B-038</v>
      </c>
      <c r="B43" s="880" t="str">
        <f t="shared" ca="1" si="0"/>
        <v>ZZZ_land_H2</v>
      </c>
      <c r="C43" s="571" t="s">
        <v>2315</v>
      </c>
      <c r="D43" s="571" t="s">
        <v>2315</v>
      </c>
      <c r="E43" s="571" t="s">
        <v>2315</v>
      </c>
      <c r="F43" s="571" t="s">
        <v>2315</v>
      </c>
    </row>
    <row r="44" spans="1:6" s="570" customFormat="1" x14ac:dyDescent="0.25">
      <c r="A44" s="573" t="str">
        <f t="shared" si="3"/>
        <v>02-B-039</v>
      </c>
      <c r="B44" s="869" t="str">
        <f t="shared" ca="1" si="0"/>
        <v>ZZZ_land_H3</v>
      </c>
      <c r="C44" s="570" t="s">
        <v>2316</v>
      </c>
      <c r="D44" s="570" t="s">
        <v>2316</v>
      </c>
      <c r="E44" s="570" t="s">
        <v>2316</v>
      </c>
      <c r="F44" s="570" t="s">
        <v>2316</v>
      </c>
    </row>
    <row r="45" spans="1:6" s="576" customFormat="1" x14ac:dyDescent="0.25">
      <c r="A45" s="587" t="str">
        <f t="shared" si="3"/>
        <v>02-B-040</v>
      </c>
      <c r="B45" s="868" t="str">
        <f t="shared" ca="1" si="0"/>
        <v>ZZZ_land_H4</v>
      </c>
      <c r="C45" s="571" t="s">
        <v>2317</v>
      </c>
      <c r="D45" s="571" t="s">
        <v>2317</v>
      </c>
      <c r="E45" s="571" t="s">
        <v>2317</v>
      </c>
      <c r="F45" s="571" t="s">
        <v>2317</v>
      </c>
    </row>
    <row r="46" spans="1:6" s="582" customFormat="1" x14ac:dyDescent="0.25">
      <c r="A46" s="580" t="str">
        <f t="shared" si="3"/>
        <v>02-B-041</v>
      </c>
      <c r="B46" s="881"/>
    </row>
    <row r="47" spans="1:6" s="579" customFormat="1" x14ac:dyDescent="0.25">
      <c r="A47" s="577" t="str">
        <f t="shared" si="3"/>
        <v>02-B-042</v>
      </c>
      <c r="B47" s="871"/>
      <c r="C47" s="579" t="s">
        <v>926</v>
      </c>
    </row>
    <row r="48" spans="1:6" s="575" customFormat="1" x14ac:dyDescent="0.25">
      <c r="A48" s="588" t="str">
        <f t="shared" si="3"/>
        <v>02-B-043</v>
      </c>
      <c r="B48" s="867" t="str">
        <f ca="1">INDIRECT(CHAR(64+$C$2)&amp;ROW())</f>
        <v>B4E1C2A1C4D4F2A3B3B2D2E4D3D1F3E3A2C3C1E2B1F4F1A4G1G2G3G4H1H2H3H4</v>
      </c>
      <c r="C48" s="575" t="s">
        <v>2573</v>
      </c>
      <c r="D48" s="575" t="s">
        <v>2574</v>
      </c>
      <c r="E48" s="575" t="s">
        <v>2575</v>
      </c>
      <c r="F48" s="575" t="s">
        <v>2576</v>
      </c>
    </row>
    <row r="49" spans="1:6" s="579" customFormat="1" x14ac:dyDescent="0.25">
      <c r="A49" s="577" t="str">
        <f t="shared" si="3"/>
        <v>02-B-044</v>
      </c>
      <c r="B49" s="871"/>
    </row>
    <row r="50" spans="1:6" s="582" customFormat="1" x14ac:dyDescent="0.25">
      <c r="A50" s="580" t="str">
        <f t="shared" si="3"/>
        <v>02-B-045</v>
      </c>
      <c r="B50" s="870"/>
    </row>
    <row r="51" spans="1:6" s="576" customFormat="1" x14ac:dyDescent="0.25">
      <c r="A51" s="587" t="str">
        <f t="shared" si="3"/>
        <v>02-B-046</v>
      </c>
      <c r="B51" s="880" t="str">
        <f t="shared" ref="B51:B82" ca="1" si="4">INDIRECT(CHAR(64+$C$2)&amp;ROW())</f>
        <v>Albanees voetbalelftal</v>
      </c>
      <c r="C51" s="576" t="s">
        <v>2322</v>
      </c>
      <c r="D51" s="576" t="s">
        <v>2334</v>
      </c>
      <c r="E51" s="576" t="s">
        <v>2353</v>
      </c>
      <c r="F51" s="576" t="s">
        <v>2366</v>
      </c>
    </row>
    <row r="52" spans="1:6" s="575" customFormat="1" x14ac:dyDescent="0.25">
      <c r="A52" s="588" t="str">
        <f t="shared" si="3"/>
        <v>02-B-047</v>
      </c>
      <c r="B52" s="869" t="str">
        <f t="shared" ca="1" si="4"/>
        <v>Belgisch voetbalelftal</v>
      </c>
      <c r="C52" s="575" t="s">
        <v>1947</v>
      </c>
      <c r="D52" s="575" t="s">
        <v>2335</v>
      </c>
      <c r="E52" s="575" t="s">
        <v>1346</v>
      </c>
      <c r="F52" s="575" t="s">
        <v>2367</v>
      </c>
    </row>
    <row r="53" spans="1:6" s="576" customFormat="1" x14ac:dyDescent="0.25">
      <c r="A53" s="587" t="str">
        <f t="shared" si="3"/>
        <v>02-B-048</v>
      </c>
      <c r="B53" s="880" t="str">
        <f t="shared" ca="1" si="4"/>
        <v>Deense voetbalelftal</v>
      </c>
      <c r="C53" s="576" t="s">
        <v>2328</v>
      </c>
      <c r="D53" s="576" t="s">
        <v>1026</v>
      </c>
      <c r="E53" s="576" t="s">
        <v>1347</v>
      </c>
      <c r="F53" s="576" t="s">
        <v>2368</v>
      </c>
    </row>
    <row r="54" spans="1:6" s="575" customFormat="1" x14ac:dyDescent="0.25">
      <c r="A54" s="588" t="str">
        <f t="shared" si="3"/>
        <v>02-B-049</v>
      </c>
      <c r="B54" s="869" t="str">
        <f t="shared" ca="1" si="4"/>
        <v>Duits voetbalelftal</v>
      </c>
      <c r="C54" s="575" t="s">
        <v>1946</v>
      </c>
      <c r="D54" s="575" t="s">
        <v>2336</v>
      </c>
      <c r="E54" s="575" t="s">
        <v>2354</v>
      </c>
      <c r="F54" s="575" t="s">
        <v>2369</v>
      </c>
    </row>
    <row r="55" spans="1:6" s="576" customFormat="1" x14ac:dyDescent="0.25">
      <c r="A55" s="587" t="str">
        <f t="shared" si="3"/>
        <v>02-B-050</v>
      </c>
      <c r="B55" s="880" t="str">
        <f t="shared" ca="1" si="4"/>
        <v>Engels voetbalelftal</v>
      </c>
      <c r="C55" s="576" t="s">
        <v>1943</v>
      </c>
      <c r="D55" s="576" t="s">
        <v>2337</v>
      </c>
      <c r="E55" s="576" t="s">
        <v>2355</v>
      </c>
      <c r="F55" s="576" t="s">
        <v>2370</v>
      </c>
    </row>
    <row r="56" spans="1:6" s="575" customFormat="1" x14ac:dyDescent="0.25">
      <c r="A56" s="588" t="str">
        <f t="shared" si="3"/>
        <v>02-B-051</v>
      </c>
      <c r="B56" s="869" t="str">
        <f t="shared" ca="1" si="4"/>
        <v>Frans voetbalelftal</v>
      </c>
      <c r="C56" s="575" t="s">
        <v>1944</v>
      </c>
      <c r="D56" s="575" t="s">
        <v>2338</v>
      </c>
      <c r="E56" s="575" t="s">
        <v>1348</v>
      </c>
      <c r="F56" s="575" t="s">
        <v>2371</v>
      </c>
    </row>
    <row r="57" spans="1:6" s="576" customFormat="1" x14ac:dyDescent="0.25">
      <c r="A57" s="587" t="str">
        <f t="shared" si="3"/>
        <v>02-B-052</v>
      </c>
      <c r="B57" s="880" t="str">
        <f t="shared" ca="1" si="4"/>
        <v>Georgisch voetbalelftal</v>
      </c>
      <c r="C57" s="576" t="s">
        <v>2579</v>
      </c>
      <c r="D57" s="576" t="s">
        <v>2582</v>
      </c>
      <c r="E57" s="576" t="s">
        <v>2585</v>
      </c>
      <c r="F57" s="576" t="s">
        <v>2588</v>
      </c>
    </row>
    <row r="58" spans="1:6" s="575" customFormat="1" x14ac:dyDescent="0.25">
      <c r="A58" s="588" t="str">
        <f t="shared" si="3"/>
        <v>02-B-053</v>
      </c>
      <c r="B58" s="869" t="str">
        <f t="shared" ca="1" si="4"/>
        <v>Hongaars voetbalelftal</v>
      </c>
      <c r="C58" s="575" t="s">
        <v>2323</v>
      </c>
      <c r="D58" s="575" t="s">
        <v>2339</v>
      </c>
      <c r="E58" s="575" t="s">
        <v>2356</v>
      </c>
      <c r="F58" s="575" t="s">
        <v>2372</v>
      </c>
    </row>
    <row r="59" spans="1:6" s="576" customFormat="1" x14ac:dyDescent="0.25">
      <c r="A59" s="587" t="str">
        <f t="shared" si="3"/>
        <v>02-B-054</v>
      </c>
      <c r="B59" s="880" t="str">
        <f t="shared" ca="1" si="4"/>
        <v>Italiaans voetbalelftal</v>
      </c>
      <c r="C59" s="576" t="s">
        <v>2329</v>
      </c>
      <c r="D59" s="576" t="s">
        <v>2340</v>
      </c>
      <c r="E59" s="576" t="s">
        <v>2357</v>
      </c>
      <c r="F59" s="576" t="s">
        <v>2373</v>
      </c>
    </row>
    <row r="60" spans="1:6" s="575" customFormat="1" x14ac:dyDescent="0.25">
      <c r="A60" s="588" t="str">
        <f t="shared" si="3"/>
        <v>02-B-055</v>
      </c>
      <c r="B60" s="869" t="str">
        <f t="shared" ca="1" si="4"/>
        <v>Kroatisch voetbalelftal</v>
      </c>
      <c r="C60" s="575" t="s">
        <v>1948</v>
      </c>
      <c r="D60" s="575" t="s">
        <v>2341</v>
      </c>
      <c r="E60" s="575" t="s">
        <v>1349</v>
      </c>
      <c r="F60" s="575" t="s">
        <v>2374</v>
      </c>
    </row>
    <row r="61" spans="1:6" s="576" customFormat="1" x14ac:dyDescent="0.25">
      <c r="A61" s="587" t="str">
        <f t="shared" si="3"/>
        <v>02-B-056</v>
      </c>
      <c r="B61" s="880" t="str">
        <f t="shared" ca="1" si="4"/>
        <v>Nederlands voetbalelftal</v>
      </c>
      <c r="C61" s="576" t="s">
        <v>1942</v>
      </c>
      <c r="D61" s="576" t="s">
        <v>1027</v>
      </c>
      <c r="E61" s="576" t="s">
        <v>1350</v>
      </c>
      <c r="F61" s="576" t="s">
        <v>2375</v>
      </c>
    </row>
    <row r="62" spans="1:6" s="575" customFormat="1" x14ac:dyDescent="0.25">
      <c r="A62" s="588" t="str">
        <f t="shared" si="3"/>
        <v>02-B-057</v>
      </c>
      <c r="B62" s="869" t="str">
        <f t="shared" ca="1" si="4"/>
        <v>Oekraïens voetbalelftal</v>
      </c>
      <c r="C62" s="575" t="s">
        <v>2578</v>
      </c>
      <c r="D62" s="575" t="s">
        <v>2580</v>
      </c>
      <c r="E62" s="575" t="s">
        <v>2584</v>
      </c>
      <c r="F62" s="575" t="s">
        <v>2587</v>
      </c>
    </row>
    <row r="63" spans="1:6" s="576" customFormat="1" x14ac:dyDescent="0.25">
      <c r="A63" s="587" t="str">
        <f t="shared" si="3"/>
        <v>02-B-058</v>
      </c>
      <c r="B63" s="880" t="str">
        <f t="shared" ca="1" si="4"/>
        <v>Oostenrijks voetbalelftal</v>
      </c>
      <c r="C63" s="576" t="s">
        <v>2324</v>
      </c>
      <c r="D63" s="576" t="s">
        <v>2342</v>
      </c>
      <c r="E63" s="576" t="s">
        <v>2358</v>
      </c>
      <c r="F63" s="576" t="s">
        <v>2376</v>
      </c>
    </row>
    <row r="64" spans="1:6" s="575" customFormat="1" x14ac:dyDescent="0.25">
      <c r="A64" s="588" t="str">
        <f t="shared" si="3"/>
        <v>02-B-059</v>
      </c>
      <c r="B64" s="869" t="str">
        <f t="shared" ca="1" si="4"/>
        <v>Pools voetbalelftal</v>
      </c>
      <c r="C64" s="575" t="s">
        <v>2577</v>
      </c>
      <c r="D64" s="575" t="s">
        <v>2581</v>
      </c>
      <c r="E64" s="575" t="s">
        <v>2583</v>
      </c>
      <c r="F64" s="575" t="s">
        <v>2586</v>
      </c>
    </row>
    <row r="65" spans="1:6" s="576" customFormat="1" x14ac:dyDescent="0.25">
      <c r="A65" s="587" t="str">
        <f t="shared" si="3"/>
        <v>02-B-060</v>
      </c>
      <c r="B65" s="880" t="str">
        <f t="shared" ca="1" si="4"/>
        <v>Portugees voetbalelftal</v>
      </c>
      <c r="C65" s="576" t="s">
        <v>1950</v>
      </c>
      <c r="D65" s="576" t="s">
        <v>2343</v>
      </c>
      <c r="E65" s="576" t="s">
        <v>2359</v>
      </c>
      <c r="F65" s="576" t="s">
        <v>2377</v>
      </c>
    </row>
    <row r="66" spans="1:6" s="575" customFormat="1" x14ac:dyDescent="0.25">
      <c r="A66" s="588" t="str">
        <f t="shared" si="3"/>
        <v>02-B-061</v>
      </c>
      <c r="B66" s="869" t="str">
        <f t="shared" ca="1" si="4"/>
        <v>Roemeens voetbalelftal</v>
      </c>
      <c r="C66" s="575" t="s">
        <v>2325</v>
      </c>
      <c r="D66" s="575" t="s">
        <v>2344</v>
      </c>
      <c r="E66" s="575" t="s">
        <v>2360</v>
      </c>
      <c r="F66" s="575" t="s">
        <v>2378</v>
      </c>
    </row>
    <row r="67" spans="1:6" s="576" customFormat="1" x14ac:dyDescent="0.25">
      <c r="A67" s="587" t="str">
        <f t="shared" si="3"/>
        <v>02-B-062</v>
      </c>
      <c r="B67" s="880" t="str">
        <f t="shared" ca="1" si="4"/>
        <v>Schots voetbalelftal</v>
      </c>
      <c r="C67" s="576" t="s">
        <v>2330</v>
      </c>
      <c r="D67" s="576" t="s">
        <v>2345</v>
      </c>
      <c r="E67" s="576" t="s">
        <v>2361</v>
      </c>
      <c r="F67" s="576" t="s">
        <v>2379</v>
      </c>
    </row>
    <row r="68" spans="1:6" s="575" customFormat="1" x14ac:dyDescent="0.25">
      <c r="A68" s="588" t="str">
        <f t="shared" si="3"/>
        <v>02-B-063</v>
      </c>
      <c r="B68" s="869" t="str">
        <f t="shared" ca="1" si="4"/>
        <v>Servisch voetbalelftal</v>
      </c>
      <c r="C68" s="575" t="s">
        <v>1949</v>
      </c>
      <c r="D68" s="575" t="s">
        <v>2346</v>
      </c>
      <c r="E68" s="575" t="s">
        <v>1951</v>
      </c>
      <c r="F68" s="575" t="s">
        <v>2380</v>
      </c>
    </row>
    <row r="69" spans="1:6" s="576" customFormat="1" x14ac:dyDescent="0.25">
      <c r="A69" s="587" t="str">
        <f t="shared" si="3"/>
        <v>02-B-064</v>
      </c>
      <c r="B69" s="880" t="str">
        <f t="shared" ca="1" si="4"/>
        <v>Sloveens voetbalelftal</v>
      </c>
      <c r="C69" s="576" t="s">
        <v>2327</v>
      </c>
      <c r="D69" s="576" t="s">
        <v>2347</v>
      </c>
      <c r="E69" s="576" t="s">
        <v>2362</v>
      </c>
      <c r="F69" s="576" t="s">
        <v>2381</v>
      </c>
    </row>
    <row r="70" spans="1:6" s="575" customFormat="1" x14ac:dyDescent="0.25">
      <c r="A70" s="588" t="str">
        <f t="shared" si="3"/>
        <v>02-B-065</v>
      </c>
      <c r="B70" s="869" t="str">
        <f t="shared" ca="1" si="4"/>
        <v>Slowaaks voetbalelftal</v>
      </c>
      <c r="C70" s="575" t="s">
        <v>2326</v>
      </c>
      <c r="D70" s="575" t="s">
        <v>2348</v>
      </c>
      <c r="E70" s="575" t="s">
        <v>2363</v>
      </c>
      <c r="F70" s="575" t="s">
        <v>2382</v>
      </c>
    </row>
    <row r="71" spans="1:6" s="576" customFormat="1" x14ac:dyDescent="0.25">
      <c r="A71" s="587" t="str">
        <f t="shared" si="3"/>
        <v>02-B-066</v>
      </c>
      <c r="B71" s="880" t="str">
        <f t="shared" ca="1" si="4"/>
        <v>Spaans voetbalelftal</v>
      </c>
      <c r="C71" s="576" t="s">
        <v>1945</v>
      </c>
      <c r="D71" s="576" t="s">
        <v>2349</v>
      </c>
      <c r="E71" s="576" t="s">
        <v>1351</v>
      </c>
      <c r="F71" s="576" t="s">
        <v>2383</v>
      </c>
    </row>
    <row r="72" spans="1:6" s="575" customFormat="1" x14ac:dyDescent="0.25">
      <c r="A72" s="588" t="str">
        <f t="shared" si="3"/>
        <v>02-B-067</v>
      </c>
      <c r="B72" s="869" t="str">
        <f t="shared" ca="1" si="4"/>
        <v>Tsjechisch voetbalelftal</v>
      </c>
      <c r="C72" s="575" t="s">
        <v>2331</v>
      </c>
      <c r="D72" s="575" t="s">
        <v>2350</v>
      </c>
      <c r="E72" s="575" t="s">
        <v>2364</v>
      </c>
      <c r="F72" s="575" t="s">
        <v>2384</v>
      </c>
    </row>
    <row r="73" spans="1:6" s="576" customFormat="1" x14ac:dyDescent="0.25">
      <c r="A73" s="587" t="str">
        <f t="shared" si="3"/>
        <v>02-B-068</v>
      </c>
      <c r="B73" s="880" t="str">
        <f t="shared" ca="1" si="4"/>
        <v>Turks voetbalelftal</v>
      </c>
      <c r="C73" s="576" t="s">
        <v>2332</v>
      </c>
      <c r="D73" s="576" t="s">
        <v>2351</v>
      </c>
      <c r="E73" s="576" t="s">
        <v>2365</v>
      </c>
      <c r="F73" s="576" t="s">
        <v>2385</v>
      </c>
    </row>
    <row r="74" spans="1:6" s="575" customFormat="1" x14ac:dyDescent="0.25">
      <c r="A74" s="588" t="str">
        <f t="shared" si="3"/>
        <v>02-B-069</v>
      </c>
      <c r="B74" s="869" t="str">
        <f t="shared" ca="1" si="4"/>
        <v>Zwisters voetbalelftal</v>
      </c>
      <c r="C74" s="575" t="s">
        <v>2333</v>
      </c>
      <c r="D74" s="575" t="s">
        <v>2352</v>
      </c>
      <c r="E74" s="575" t="s">
        <v>1352</v>
      </c>
      <c r="F74" s="575" t="s">
        <v>2386</v>
      </c>
    </row>
    <row r="75" spans="1:6" s="576" customFormat="1" x14ac:dyDescent="0.25">
      <c r="A75" s="587" t="str">
        <f t="shared" si="3"/>
        <v>02-B-070</v>
      </c>
      <c r="B75" s="880" t="str">
        <f t="shared" ca="1" si="4"/>
        <v>ZZZ_land_G1</v>
      </c>
      <c r="C75" s="576" t="str">
        <f t="shared" ref="C75:F78" si="5">C37</f>
        <v>ZZZ_land_G1</v>
      </c>
      <c r="D75" s="576" t="str">
        <f t="shared" si="5"/>
        <v>ZZZ_land_G1</v>
      </c>
      <c r="E75" s="576" t="str">
        <f t="shared" si="5"/>
        <v>ZZZ_land_G1</v>
      </c>
      <c r="F75" s="576" t="str">
        <f t="shared" si="5"/>
        <v>ZZZ_land_G1</v>
      </c>
    </row>
    <row r="76" spans="1:6" s="575" customFormat="1" x14ac:dyDescent="0.25">
      <c r="A76" s="588" t="str">
        <f t="shared" si="3"/>
        <v>02-B-071</v>
      </c>
      <c r="B76" s="869" t="str">
        <f t="shared" ca="1" si="4"/>
        <v>ZZZ_land_G2</v>
      </c>
      <c r="C76" s="575" t="str">
        <f t="shared" si="5"/>
        <v>ZZZ_land_G2</v>
      </c>
      <c r="D76" s="575" t="str">
        <f t="shared" si="5"/>
        <v>ZZZ_land_G2</v>
      </c>
      <c r="E76" s="575" t="str">
        <f t="shared" si="5"/>
        <v>ZZZ_land_G2</v>
      </c>
      <c r="F76" s="575" t="str">
        <f t="shared" si="5"/>
        <v>ZZZ_land_G2</v>
      </c>
    </row>
    <row r="77" spans="1:6" s="576" customFormat="1" x14ac:dyDescent="0.25">
      <c r="A77" s="587" t="str">
        <f>LEFT(A76,5)&amp;RIGHT("000"&amp;RIGHT(A76,3)*1+1,3)</f>
        <v>02-B-072</v>
      </c>
      <c r="B77" s="880" t="str">
        <f t="shared" ca="1" si="4"/>
        <v>ZZZ_land_G3</v>
      </c>
      <c r="C77" s="576" t="str">
        <f t="shared" si="5"/>
        <v>ZZZ_land_G3</v>
      </c>
      <c r="D77" s="576" t="str">
        <f t="shared" si="5"/>
        <v>ZZZ_land_G3</v>
      </c>
      <c r="E77" s="576" t="str">
        <f t="shared" si="5"/>
        <v>ZZZ_land_G3</v>
      </c>
      <c r="F77" s="576" t="str">
        <f t="shared" si="5"/>
        <v>ZZZ_land_G3</v>
      </c>
    </row>
    <row r="78" spans="1:6" s="575" customFormat="1" x14ac:dyDescent="0.25">
      <c r="A78" s="588" t="str">
        <f t="shared" si="3"/>
        <v>02-B-073</v>
      </c>
      <c r="B78" s="869" t="str">
        <f t="shared" ca="1" si="4"/>
        <v>ZZZ_land_G4</v>
      </c>
      <c r="C78" s="575" t="str">
        <f t="shared" si="5"/>
        <v>ZZZ_land_G4</v>
      </c>
      <c r="D78" s="575" t="str">
        <f t="shared" si="5"/>
        <v>ZZZ_land_G4</v>
      </c>
      <c r="E78" s="575" t="str">
        <f t="shared" si="5"/>
        <v>ZZZ_land_G4</v>
      </c>
      <c r="F78" s="575" t="str">
        <f t="shared" si="5"/>
        <v>ZZZ_land_G4</v>
      </c>
    </row>
    <row r="79" spans="1:6" s="576" customFormat="1" x14ac:dyDescent="0.25">
      <c r="A79" s="587" t="str">
        <f t="shared" si="3"/>
        <v>02-B-074</v>
      </c>
      <c r="B79" s="880" t="str">
        <f t="shared" ca="1" si="4"/>
        <v>ZZZ_land_H1</v>
      </c>
      <c r="C79" s="576" t="str">
        <f t="shared" ref="C79:F82" si="6">C42</f>
        <v>ZZZ_land_H1</v>
      </c>
      <c r="D79" s="576" t="str">
        <f t="shared" si="6"/>
        <v>ZZZ_land_H1</v>
      </c>
      <c r="E79" s="576" t="str">
        <f t="shared" si="6"/>
        <v>ZZZ_land_H1</v>
      </c>
      <c r="F79" s="576" t="str">
        <f t="shared" si="6"/>
        <v>ZZZ_land_H1</v>
      </c>
    </row>
    <row r="80" spans="1:6" s="575" customFormat="1" x14ac:dyDescent="0.25">
      <c r="A80" s="588" t="str">
        <f t="shared" si="3"/>
        <v>02-B-075</v>
      </c>
      <c r="B80" s="869" t="str">
        <f t="shared" ca="1" si="4"/>
        <v>ZZZ_land_H2</v>
      </c>
      <c r="C80" s="575" t="str">
        <f t="shared" si="6"/>
        <v>ZZZ_land_H2</v>
      </c>
      <c r="D80" s="575" t="str">
        <f t="shared" si="6"/>
        <v>ZZZ_land_H2</v>
      </c>
      <c r="E80" s="575" t="str">
        <f t="shared" si="6"/>
        <v>ZZZ_land_H2</v>
      </c>
      <c r="F80" s="575" t="str">
        <f t="shared" si="6"/>
        <v>ZZZ_land_H2</v>
      </c>
    </row>
    <row r="81" spans="1:19" s="576" customFormat="1" x14ac:dyDescent="0.25">
      <c r="A81" s="587" t="str">
        <f t="shared" si="3"/>
        <v>02-B-076</v>
      </c>
      <c r="B81" s="880" t="str">
        <f t="shared" ca="1" si="4"/>
        <v>ZZZ_land_H3</v>
      </c>
      <c r="C81" s="576" t="str">
        <f t="shared" si="6"/>
        <v>ZZZ_land_H3</v>
      </c>
      <c r="D81" s="576" t="str">
        <f t="shared" si="6"/>
        <v>ZZZ_land_H3</v>
      </c>
      <c r="E81" s="576" t="str">
        <f t="shared" si="6"/>
        <v>ZZZ_land_H3</v>
      </c>
      <c r="F81" s="576" t="str">
        <f t="shared" si="6"/>
        <v>ZZZ_land_H3</v>
      </c>
    </row>
    <row r="82" spans="1:19" s="575" customFormat="1" x14ac:dyDescent="0.25">
      <c r="A82" s="588" t="str">
        <f t="shared" si="3"/>
        <v>02-B-077</v>
      </c>
      <c r="B82" s="869" t="str">
        <f t="shared" ca="1" si="4"/>
        <v>ZZZ_land_H4</v>
      </c>
      <c r="C82" s="575" t="str">
        <f t="shared" si="6"/>
        <v>ZZZ_land_H4</v>
      </c>
      <c r="D82" s="575" t="str">
        <f t="shared" si="6"/>
        <v>ZZZ_land_H4</v>
      </c>
      <c r="E82" s="575" t="str">
        <f t="shared" si="6"/>
        <v>ZZZ_land_H4</v>
      </c>
      <c r="F82" s="575" t="str">
        <f t="shared" si="6"/>
        <v>ZZZ_land_H4</v>
      </c>
    </row>
    <row r="83" spans="1:19" s="579" customFormat="1" x14ac:dyDescent="0.25">
      <c r="A83" s="577" t="str">
        <f t="shared" si="3"/>
        <v>02-B-078</v>
      </c>
      <c r="B83" s="642"/>
      <c r="C83" s="578"/>
    </row>
    <row r="84" spans="1:19" s="582" customFormat="1" x14ac:dyDescent="0.25">
      <c r="A84" s="580" t="str">
        <f t="shared" si="3"/>
        <v>02-B-079</v>
      </c>
      <c r="B84" s="641"/>
      <c r="C84" s="581"/>
    </row>
    <row r="85" spans="1:19" s="579" customFormat="1" x14ac:dyDescent="0.25">
      <c r="A85" s="577" t="str">
        <f t="shared" si="3"/>
        <v>02-B-080</v>
      </c>
      <c r="B85" s="642"/>
      <c r="C85" s="578"/>
    </row>
    <row r="86" spans="1:19" s="582" customFormat="1" x14ac:dyDescent="0.25">
      <c r="A86" s="580" t="str">
        <f t="shared" si="3"/>
        <v>02-B-081</v>
      </c>
      <c r="B86" s="641"/>
      <c r="C86" s="581"/>
    </row>
    <row r="87" spans="1:19" s="579" customFormat="1" x14ac:dyDescent="0.25">
      <c r="A87" s="577" t="str">
        <f t="shared" si="3"/>
        <v>02-B-082</v>
      </c>
      <c r="B87" s="642"/>
      <c r="C87" s="578"/>
    </row>
    <row r="88" spans="1:19" s="582" customFormat="1" x14ac:dyDescent="0.25">
      <c r="A88" s="580" t="str">
        <f t="shared" si="3"/>
        <v>02-B-083</v>
      </c>
      <c r="B88" s="641"/>
      <c r="C88" s="581"/>
    </row>
    <row r="89" spans="1:19" s="579" customFormat="1" x14ac:dyDescent="0.25">
      <c r="A89" s="577" t="str">
        <f t="shared" si="3"/>
        <v>02-B-084</v>
      </c>
      <c r="B89" s="642"/>
      <c r="C89" s="578"/>
      <c r="G89" s="1074" t="s">
        <v>2410</v>
      </c>
      <c r="K89" s="1074" t="s">
        <v>977</v>
      </c>
      <c r="S89" s="1074" t="s">
        <v>2411</v>
      </c>
    </row>
    <row r="90" spans="1:19" s="689" customFormat="1" ht="15" customHeight="1" x14ac:dyDescent="0.25">
      <c r="A90" s="1125" t="s">
        <v>975</v>
      </c>
      <c r="B90" s="1126"/>
      <c r="C90" s="1126"/>
      <c r="D90" s="1127"/>
      <c r="E90" s="1138" t="s">
        <v>976</v>
      </c>
      <c r="F90" s="1139"/>
      <c r="G90" s="1118" t="s">
        <v>2388</v>
      </c>
      <c r="H90" s="1123" t="s">
        <v>2390</v>
      </c>
      <c r="I90" s="1118" t="s">
        <v>2392</v>
      </c>
      <c r="J90" s="1123" t="s">
        <v>2394</v>
      </c>
      <c r="K90" s="1118" t="s">
        <v>2395</v>
      </c>
      <c r="L90" s="1123" t="s">
        <v>2396</v>
      </c>
      <c r="M90" s="1118" t="s">
        <v>2399</v>
      </c>
      <c r="N90" s="1123" t="s">
        <v>2400</v>
      </c>
      <c r="O90" s="1118" t="s">
        <v>2402</v>
      </c>
      <c r="P90" s="1123" t="s">
        <v>2403</v>
      </c>
      <c r="Q90" s="1118" t="s">
        <v>2405</v>
      </c>
      <c r="R90" s="1123" t="s">
        <v>2406</v>
      </c>
      <c r="S90" s="1118" t="s">
        <v>2409</v>
      </c>
    </row>
    <row r="91" spans="1:19" s="689" customFormat="1" ht="15" customHeight="1" x14ac:dyDescent="0.25">
      <c r="A91" s="1128"/>
      <c r="B91" s="1129"/>
      <c r="C91" s="1129"/>
      <c r="D91" s="1130"/>
      <c r="E91" s="1142"/>
      <c r="F91" s="1143"/>
      <c r="G91" s="1119"/>
      <c r="H91" s="1124"/>
      <c r="I91" s="1119"/>
      <c r="J91" s="1124"/>
      <c r="K91" s="1119"/>
      <c r="L91" s="1124"/>
      <c r="M91" s="1119"/>
      <c r="N91" s="1124"/>
      <c r="O91" s="1119"/>
      <c r="P91" s="1124"/>
      <c r="Q91" s="1119"/>
      <c r="R91" s="1124"/>
      <c r="S91" s="1119"/>
    </row>
    <row r="92" spans="1:19" s="689" customFormat="1" ht="15" customHeight="1" x14ac:dyDescent="0.25">
      <c r="A92" s="1128"/>
      <c r="B92" s="1129"/>
      <c r="C92" s="1129"/>
      <c r="D92" s="1130"/>
      <c r="E92" s="1138" t="s">
        <v>974</v>
      </c>
      <c r="F92" s="1139"/>
      <c r="G92" s="1120" t="str">
        <f ca="1">G100&amp;G101&amp;G102&amp;G103&amp;G104&amp;G105&amp;G106&amp;G107&amp;G108&amp;G109&amp;G110&amp;G111&amp;G112&amp;G113&amp;G114&amp;G115&amp;G116&amp;G117&amp;G118&amp;G119&amp;G120&amp;G121&amp;G122&amp;G123&amp;G124&amp;G125&amp;G126&amp;G127&amp;G128&amp;G129&amp;G130&amp;G131</f>
        <v>E1D4F2D2E4D3D1F3E3E2F4F1</v>
      </c>
      <c r="H92" s="1111"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120" t="str">
        <f t="shared" ca="1" si="7"/>
        <v>B4C2A1C4A3B3B2A2C3C1B1A4</v>
      </c>
      <c r="J92" s="1111" t="str">
        <f t="shared" ca="1" si="7"/>
        <v>B4C2A1C4D4A3B3B2D2D3D1A2C3C1B1A4</v>
      </c>
      <c r="K92" s="1120" t="str">
        <f t="shared" ca="1" si="7"/>
        <v>B4E1A1D4F2A3B3B2D2E4D3D1F3E3A2E2B1F4F1A4</v>
      </c>
      <c r="L92" s="1111" t="str">
        <f t="shared" ca="1" si="7"/>
        <v>C2A1C4A3A2C3C1A4</v>
      </c>
      <c r="M92" s="1120" t="str">
        <f t="shared" ca="1" si="7"/>
        <v>B4C2A1C4F2A3B3B2F3A2C3C1B1F4F1A4</v>
      </c>
      <c r="N92" s="1111" t="str">
        <f t="shared" ca="1" si="7"/>
        <v>E1D4D2E4D3D1E3E2</v>
      </c>
      <c r="O92" s="1120" t="str">
        <f t="shared" ca="1" si="7"/>
        <v>E1C2C4D4F2D2E4D3D1F3E3C3C1E2F4F1</v>
      </c>
      <c r="P92" s="1111" t="str">
        <f t="shared" ca="1" si="7"/>
        <v>B4A1A3B3B2A2B1A4</v>
      </c>
      <c r="Q92" s="1120" t="str">
        <f t="shared" ca="1" si="7"/>
        <v>B4E1C2A1C4D4A3B3B2D2E4D3D1E3A2C3C1E2B1A4</v>
      </c>
      <c r="R92" s="1111" t="str">
        <f t="shared" ca="1" si="7"/>
        <v>D4F2D2D3D1F3F4F1</v>
      </c>
      <c r="S92" s="1120" t="str">
        <f t="shared" ca="1" si="7"/>
        <v>B4E1C2A1C4D4F2A3B3B2D2E4D3D1F3E3A2C3C1E2B1F4F1A4</v>
      </c>
    </row>
    <row r="93" spans="1:19" s="689" customFormat="1" ht="15" customHeight="1" x14ac:dyDescent="0.25">
      <c r="A93" s="1128"/>
      <c r="B93" s="1129"/>
      <c r="C93" s="1129"/>
      <c r="D93" s="1130"/>
      <c r="E93" s="1140"/>
      <c r="F93" s="1141"/>
      <c r="G93" s="1121"/>
      <c r="H93" s="1112"/>
      <c r="I93" s="1121"/>
      <c r="J93" s="1112"/>
      <c r="K93" s="1121"/>
      <c r="L93" s="1112"/>
      <c r="M93" s="1121"/>
      <c r="N93" s="1112"/>
      <c r="O93" s="1121"/>
      <c r="P93" s="1112"/>
      <c r="Q93" s="1121"/>
      <c r="R93" s="1112"/>
      <c r="S93" s="1121"/>
    </row>
    <row r="94" spans="1:19" s="689" customFormat="1" ht="15" customHeight="1" x14ac:dyDescent="0.25">
      <c r="A94" s="1128"/>
      <c r="B94" s="1129"/>
      <c r="C94" s="1129"/>
      <c r="D94" s="1130"/>
      <c r="E94" s="1140"/>
      <c r="F94" s="1141"/>
      <c r="G94" s="1121"/>
      <c r="H94" s="1112"/>
      <c r="I94" s="1121"/>
      <c r="J94" s="1112"/>
      <c r="K94" s="1121"/>
      <c r="L94" s="1112"/>
      <c r="M94" s="1121"/>
      <c r="N94" s="1112"/>
      <c r="O94" s="1121"/>
      <c r="P94" s="1112"/>
      <c r="Q94" s="1121"/>
      <c r="R94" s="1112"/>
      <c r="S94" s="1121"/>
    </row>
    <row r="95" spans="1:19" s="689" customFormat="1" ht="15" customHeight="1" x14ac:dyDescent="0.25">
      <c r="A95" s="1128"/>
      <c r="B95" s="1129"/>
      <c r="C95" s="1129"/>
      <c r="D95" s="1130"/>
      <c r="E95" s="1140"/>
      <c r="F95" s="1141"/>
      <c r="G95" s="1121"/>
      <c r="H95" s="1112"/>
      <c r="I95" s="1121"/>
      <c r="J95" s="1112"/>
      <c r="K95" s="1121"/>
      <c r="L95" s="1112"/>
      <c r="M95" s="1121"/>
      <c r="N95" s="1112"/>
      <c r="O95" s="1121"/>
      <c r="P95" s="1112"/>
      <c r="Q95" s="1121"/>
      <c r="R95" s="1112"/>
      <c r="S95" s="1121"/>
    </row>
    <row r="96" spans="1:19" s="689" customFormat="1" ht="15" customHeight="1" x14ac:dyDescent="0.25">
      <c r="A96" s="1128"/>
      <c r="B96" s="1129"/>
      <c r="C96" s="1129"/>
      <c r="D96" s="1130"/>
      <c r="E96" s="1140"/>
      <c r="F96" s="1141"/>
      <c r="G96" s="1121"/>
      <c r="H96" s="1112"/>
      <c r="I96" s="1121"/>
      <c r="J96" s="1112"/>
      <c r="K96" s="1121"/>
      <c r="L96" s="1112"/>
      <c r="M96" s="1121"/>
      <c r="N96" s="1112"/>
      <c r="O96" s="1121"/>
      <c r="P96" s="1112"/>
      <c r="Q96" s="1121"/>
      <c r="R96" s="1112"/>
      <c r="S96" s="1121"/>
    </row>
    <row r="97" spans="1:19" s="689" customFormat="1" ht="15" customHeight="1" x14ac:dyDescent="0.25">
      <c r="A97" s="1131"/>
      <c r="B97" s="1132"/>
      <c r="C97" s="1132"/>
      <c r="D97" s="1133"/>
      <c r="E97" s="1142"/>
      <c r="F97" s="1143"/>
      <c r="G97" s="1122"/>
      <c r="H97" s="1113"/>
      <c r="I97" s="1122"/>
      <c r="J97" s="1113"/>
      <c r="K97" s="1122"/>
      <c r="L97" s="1113"/>
      <c r="M97" s="1122"/>
      <c r="N97" s="1113"/>
      <c r="O97" s="1122"/>
      <c r="P97" s="1113"/>
      <c r="Q97" s="1122"/>
      <c r="R97" s="1113"/>
      <c r="S97" s="1122"/>
    </row>
    <row r="98" spans="1:19" s="689" customFormat="1" ht="15" customHeight="1" x14ac:dyDescent="0.25">
      <c r="A98" s="690"/>
      <c r="B98" s="691"/>
      <c r="C98" s="1134" t="s">
        <v>972</v>
      </c>
      <c r="D98" s="1135"/>
      <c r="E98" s="1114" t="s">
        <v>320</v>
      </c>
      <c r="F98" s="1116" t="s">
        <v>973</v>
      </c>
      <c r="G98" s="1114" t="s">
        <v>2389</v>
      </c>
      <c r="H98" s="1116" t="s">
        <v>2391</v>
      </c>
      <c r="I98" s="1114" t="s">
        <v>2393</v>
      </c>
      <c r="J98" s="1116" t="s">
        <v>72</v>
      </c>
      <c r="K98" s="1114" t="s">
        <v>2397</v>
      </c>
      <c r="L98" s="1116" t="s">
        <v>2398</v>
      </c>
      <c r="M98" s="1114" t="s">
        <v>2401</v>
      </c>
      <c r="N98" s="1116" t="s">
        <v>6</v>
      </c>
      <c r="O98" s="1114" t="s">
        <v>2404</v>
      </c>
      <c r="P98" s="1116" t="s">
        <v>518</v>
      </c>
      <c r="Q98" s="1114" t="s">
        <v>2407</v>
      </c>
      <c r="R98" s="1116" t="s">
        <v>2408</v>
      </c>
      <c r="S98" s="1114" t="s">
        <v>2387</v>
      </c>
    </row>
    <row r="99" spans="1:19" s="689" customFormat="1" ht="15" customHeight="1" x14ac:dyDescent="0.25">
      <c r="A99" s="692"/>
      <c r="B99" s="693"/>
      <c r="C99" s="1136"/>
      <c r="D99" s="1137"/>
      <c r="E99" s="1115"/>
      <c r="F99" s="1117"/>
      <c r="G99" s="1115"/>
      <c r="H99" s="1117"/>
      <c r="I99" s="1115"/>
      <c r="J99" s="1117"/>
      <c r="K99" s="1115"/>
      <c r="L99" s="1117"/>
      <c r="M99" s="1115"/>
      <c r="N99" s="1117"/>
      <c r="O99" s="1115"/>
      <c r="P99" s="1117"/>
      <c r="Q99" s="1115"/>
      <c r="R99" s="1117"/>
      <c r="S99" s="1115"/>
    </row>
    <row r="100" spans="1:19" s="689" customFormat="1" x14ac:dyDescent="0.25">
      <c r="A100" s="677" t="s">
        <v>4</v>
      </c>
      <c r="B100" s="678">
        <v>7</v>
      </c>
      <c r="C100" s="679" t="str">
        <f ca="1">IF(ISBLANK(INDIRECT(A100&amp;B100)),"",INDIRECT(A100&amp;B100))</f>
        <v>Duitsland</v>
      </c>
      <c r="D100" s="680" t="str">
        <f ca="1">IF(C100="","",Voorblad!$X$67)</f>
        <v>A1</v>
      </c>
      <c r="E100" s="694">
        <v>2</v>
      </c>
      <c r="F100" s="695" t="str">
        <f ca="1">RIGHT(LEFT($B$48,E100),2)</f>
        <v>B4</v>
      </c>
      <c r="G100" s="694" t="str">
        <f t="shared" ref="G100:S100" ca="1" si="8">IF(G$98=SUBSTITUTE(G$98,LEFT($F100,1),"X"),"",$F100)</f>
        <v/>
      </c>
      <c r="H100" s="695" t="str">
        <f t="shared" ca="1" si="8"/>
        <v/>
      </c>
      <c r="I100" s="694" t="str">
        <f t="shared" ca="1" si="8"/>
        <v>B4</v>
      </c>
      <c r="J100" s="695" t="str">
        <f t="shared" ca="1" si="8"/>
        <v>B4</v>
      </c>
      <c r="K100" s="694" t="str">
        <f t="shared" ca="1" si="8"/>
        <v>B4</v>
      </c>
      <c r="L100" s="695" t="str">
        <f t="shared" ca="1" si="8"/>
        <v/>
      </c>
      <c r="M100" s="694" t="str">
        <f t="shared" ca="1" si="8"/>
        <v>B4</v>
      </c>
      <c r="N100" s="695" t="str">
        <f t="shared" ca="1" si="8"/>
        <v/>
      </c>
      <c r="O100" s="694" t="str">
        <f t="shared" ca="1" si="8"/>
        <v/>
      </c>
      <c r="P100" s="695" t="str">
        <f t="shared" ca="1" si="8"/>
        <v>B4</v>
      </c>
      <c r="Q100" s="694" t="str">
        <f t="shared" ca="1" si="8"/>
        <v>B4</v>
      </c>
      <c r="R100" s="695" t="str">
        <f t="shared" ca="1" si="8"/>
        <v/>
      </c>
      <c r="S100" s="694" t="str">
        <f t="shared" ca="1" si="8"/>
        <v>B4</v>
      </c>
    </row>
    <row r="101" spans="1:19" s="689" customFormat="1" x14ac:dyDescent="0.25">
      <c r="A101" s="681" t="str">
        <f>A100</f>
        <v>C</v>
      </c>
      <c r="B101" s="682">
        <f>B100+1</f>
        <v>8</v>
      </c>
      <c r="C101" s="683" t="str">
        <f t="shared" ref="C101:C164" ca="1" si="9">IF(ISBLANK(INDIRECT(A101&amp;B101)),"",INDIRECT(A101&amp;B101))</f>
        <v>Schotland</v>
      </c>
      <c r="D101" s="684" t="str">
        <f ca="1">IF(C101="","",Voorblad!$X$68)</f>
        <v>A2</v>
      </c>
      <c r="E101" s="696">
        <f>E100+2</f>
        <v>4</v>
      </c>
      <c r="F101" s="697" t="str">
        <f ca="1">RIGHT(LEFT($B$48,E101),2)</f>
        <v>E1</v>
      </c>
      <c r="G101" s="696" t="str">
        <f ca="1">IF(G$98=SUBSTITUTE(G$98,LEFT($F101,1),"X"),"",$F101)</f>
        <v>E1</v>
      </c>
      <c r="H101" s="697" t="str">
        <f t="shared" ref="G101:R131" ca="1" si="10">IF(H$98=SUBSTITUTE(H$98,LEFT($F101,1),"X"),"",$F101)</f>
        <v>E1</v>
      </c>
      <c r="I101" s="696" t="str">
        <f t="shared" ca="1" si="10"/>
        <v/>
      </c>
      <c r="J101" s="697" t="str">
        <f t="shared" ca="1" si="10"/>
        <v/>
      </c>
      <c r="K101" s="696" t="str">
        <f t="shared" ca="1" si="10"/>
        <v>E1</v>
      </c>
      <c r="L101" s="697" t="str">
        <f t="shared" ca="1" si="10"/>
        <v/>
      </c>
      <c r="M101" s="696" t="str">
        <f t="shared" ca="1" si="10"/>
        <v/>
      </c>
      <c r="N101" s="697" t="str">
        <f t="shared" ca="1" si="10"/>
        <v>E1</v>
      </c>
      <c r="O101" s="696" t="str">
        <f t="shared" ca="1" si="10"/>
        <v>E1</v>
      </c>
      <c r="P101" s="697" t="str">
        <f t="shared" ca="1" si="10"/>
        <v/>
      </c>
      <c r="Q101" s="696" t="str">
        <f t="shared" ca="1" si="10"/>
        <v>E1</v>
      </c>
      <c r="R101" s="697" t="str">
        <f t="shared" ca="1" si="10"/>
        <v/>
      </c>
      <c r="S101" s="696" t="str">
        <f t="shared" ref="S101:S131" ca="1" si="11">IF(S$98=SUBSTITUTE(S$98,LEFT($F101,1),"X"),"",$F101)</f>
        <v>E1</v>
      </c>
    </row>
    <row r="102" spans="1:19" s="689" customFormat="1" x14ac:dyDescent="0.25">
      <c r="A102" s="681" t="str">
        <f t="shared" ref="A102:A104" si="12">A101</f>
        <v>C</v>
      </c>
      <c r="B102" s="682">
        <f t="shared" ref="B102:B103" si="13">B101+1</f>
        <v>9</v>
      </c>
      <c r="C102" s="683" t="str">
        <f t="shared" ca="1" si="9"/>
        <v>Hongarije</v>
      </c>
      <c r="D102" s="684" t="str">
        <f ca="1">IF(C102="","",Voorblad!$X$69)</f>
        <v>A3</v>
      </c>
      <c r="E102" s="696">
        <f t="shared" ref="E102:E131" si="14">E101+2</f>
        <v>6</v>
      </c>
      <c r="F102" s="697" t="str">
        <f t="shared" ref="F102:F131" ca="1" si="15">RIGHT(LEFT($B$48,E102),2)</f>
        <v>C2</v>
      </c>
      <c r="G102" s="696" t="str">
        <f ca="1">IF(G$98=SUBSTITUTE(G$98,LEFT($F102,1),"X"),"",$F102)</f>
        <v/>
      </c>
      <c r="H102" s="697" t="str">
        <f t="shared" ca="1" si="10"/>
        <v/>
      </c>
      <c r="I102" s="696" t="str">
        <f t="shared" ca="1" si="10"/>
        <v>C2</v>
      </c>
      <c r="J102" s="697" t="str">
        <f t="shared" ca="1" si="10"/>
        <v>C2</v>
      </c>
      <c r="K102" s="696" t="str">
        <f t="shared" ca="1" si="10"/>
        <v/>
      </c>
      <c r="L102" s="697" t="str">
        <f t="shared" ca="1" si="10"/>
        <v>C2</v>
      </c>
      <c r="M102" s="696" t="str">
        <f t="shared" ca="1" si="10"/>
        <v>C2</v>
      </c>
      <c r="N102" s="697" t="str">
        <f t="shared" ca="1" si="10"/>
        <v/>
      </c>
      <c r="O102" s="696" t="str">
        <f t="shared" ca="1" si="10"/>
        <v>C2</v>
      </c>
      <c r="P102" s="697" t="str">
        <f t="shared" ca="1" si="10"/>
        <v/>
      </c>
      <c r="Q102" s="696" t="str">
        <f t="shared" ca="1" si="10"/>
        <v>C2</v>
      </c>
      <c r="R102" s="697" t="str">
        <f t="shared" ref="O102:R131" ca="1" si="16">IF(R$98=SUBSTITUTE(R$98,LEFT($F102,1),"X"),"",$F102)</f>
        <v/>
      </c>
      <c r="S102" s="696" t="str">
        <f t="shared" ca="1" si="11"/>
        <v>C2</v>
      </c>
    </row>
    <row r="103" spans="1:19" s="689" customFormat="1" x14ac:dyDescent="0.25">
      <c r="A103" s="681" t="str">
        <f t="shared" si="12"/>
        <v>C</v>
      </c>
      <c r="B103" s="682">
        <f t="shared" si="13"/>
        <v>10</v>
      </c>
      <c r="C103" s="683" t="str">
        <f t="shared" ca="1" si="9"/>
        <v>Zwitserland</v>
      </c>
      <c r="D103" s="684" t="str">
        <f ca="1">IF(C103="","",Voorblad!$X$70)</f>
        <v>A4</v>
      </c>
      <c r="E103" s="696">
        <f t="shared" si="14"/>
        <v>8</v>
      </c>
      <c r="F103" s="697" t="str">
        <f t="shared" ca="1" si="15"/>
        <v>A1</v>
      </c>
      <c r="G103" s="696" t="str">
        <f t="shared" ca="1" si="10"/>
        <v/>
      </c>
      <c r="H103" s="697" t="str">
        <f t="shared" ca="1" si="10"/>
        <v>A1</v>
      </c>
      <c r="I103" s="696" t="str">
        <f t="shared" ca="1" si="10"/>
        <v>A1</v>
      </c>
      <c r="J103" s="697" t="str">
        <f t="shared" ca="1" si="10"/>
        <v>A1</v>
      </c>
      <c r="K103" s="696" t="str">
        <f t="shared" ca="1" si="10"/>
        <v>A1</v>
      </c>
      <c r="L103" s="697" t="str">
        <f t="shared" ca="1" si="10"/>
        <v>A1</v>
      </c>
      <c r="M103" s="696" t="str">
        <f t="shared" ca="1" si="10"/>
        <v>A1</v>
      </c>
      <c r="N103" s="697" t="str">
        <f t="shared" ca="1" si="10"/>
        <v/>
      </c>
      <c r="O103" s="696" t="str">
        <f t="shared" ca="1" si="16"/>
        <v/>
      </c>
      <c r="P103" s="697" t="str">
        <f t="shared" ca="1" si="16"/>
        <v>A1</v>
      </c>
      <c r="Q103" s="696" t="str">
        <f t="shared" ca="1" si="16"/>
        <v>A1</v>
      </c>
      <c r="R103" s="697" t="str">
        <f t="shared" ca="1" si="16"/>
        <v/>
      </c>
      <c r="S103" s="696" t="str">
        <f t="shared" ca="1" si="11"/>
        <v>A1</v>
      </c>
    </row>
    <row r="104" spans="1:19" s="689" customFormat="1" x14ac:dyDescent="0.25">
      <c r="A104" s="681" t="str">
        <f t="shared" si="12"/>
        <v>C</v>
      </c>
      <c r="B104" s="682">
        <f>B103+2</f>
        <v>12</v>
      </c>
      <c r="C104" s="683" t="str">
        <f t="shared" ca="1" si="9"/>
        <v>Spanje</v>
      </c>
      <c r="D104" s="684" t="str">
        <f ca="1">IF(C104="","",Voorblad!$X$71)</f>
        <v>B1</v>
      </c>
      <c r="E104" s="696">
        <f t="shared" si="14"/>
        <v>10</v>
      </c>
      <c r="F104" s="697" t="str">
        <f t="shared" ca="1" si="15"/>
        <v>C4</v>
      </c>
      <c r="G104" s="696" t="str">
        <f t="shared" ca="1" si="10"/>
        <v/>
      </c>
      <c r="H104" s="697" t="str">
        <f t="shared" ca="1" si="10"/>
        <v/>
      </c>
      <c r="I104" s="696" t="str">
        <f t="shared" ca="1" si="10"/>
        <v>C4</v>
      </c>
      <c r="J104" s="697" t="str">
        <f t="shared" ca="1" si="10"/>
        <v>C4</v>
      </c>
      <c r="K104" s="696" t="str">
        <f t="shared" ca="1" si="10"/>
        <v/>
      </c>
      <c r="L104" s="697" t="str">
        <f t="shared" ca="1" si="10"/>
        <v>C4</v>
      </c>
      <c r="M104" s="696" t="str">
        <f t="shared" ca="1" si="10"/>
        <v>C4</v>
      </c>
      <c r="N104" s="697" t="str">
        <f t="shared" ca="1" si="10"/>
        <v/>
      </c>
      <c r="O104" s="696" t="str">
        <f t="shared" ca="1" si="16"/>
        <v>C4</v>
      </c>
      <c r="P104" s="697" t="str">
        <f t="shared" ca="1" si="16"/>
        <v/>
      </c>
      <c r="Q104" s="696" t="str">
        <f t="shared" ca="1" si="16"/>
        <v>C4</v>
      </c>
      <c r="R104" s="697" t="str">
        <f t="shared" ca="1" si="16"/>
        <v/>
      </c>
      <c r="S104" s="696" t="str">
        <f t="shared" ca="1" si="11"/>
        <v>C4</v>
      </c>
    </row>
    <row r="105" spans="1:19" s="689" customFormat="1" x14ac:dyDescent="0.25">
      <c r="A105" s="681" t="str">
        <f>A104</f>
        <v>C</v>
      </c>
      <c r="B105" s="682">
        <f>B104+1</f>
        <v>13</v>
      </c>
      <c r="C105" s="683" t="str">
        <f t="shared" ca="1" si="9"/>
        <v>Kroatië</v>
      </c>
      <c r="D105" s="684" t="str">
        <f ca="1">IF(C105="","",Voorblad!$X$72)</f>
        <v>B2</v>
      </c>
      <c r="E105" s="696">
        <f t="shared" si="14"/>
        <v>12</v>
      </c>
      <c r="F105" s="697" t="str">
        <f t="shared" ca="1" si="15"/>
        <v>D4</v>
      </c>
      <c r="G105" s="696" t="str">
        <f t="shared" ca="1" si="10"/>
        <v>D4</v>
      </c>
      <c r="H105" s="697" t="str">
        <f t="shared" ca="1" si="10"/>
        <v>D4</v>
      </c>
      <c r="I105" s="696" t="str">
        <f t="shared" ca="1" si="10"/>
        <v/>
      </c>
      <c r="J105" s="697" t="str">
        <f t="shared" ca="1" si="10"/>
        <v>D4</v>
      </c>
      <c r="K105" s="696" t="str">
        <f t="shared" ca="1" si="10"/>
        <v>D4</v>
      </c>
      <c r="L105" s="697" t="str">
        <f t="shared" ca="1" si="10"/>
        <v/>
      </c>
      <c r="M105" s="696" t="str">
        <f t="shared" ca="1" si="10"/>
        <v/>
      </c>
      <c r="N105" s="697" t="str">
        <f t="shared" ca="1" si="10"/>
        <v>D4</v>
      </c>
      <c r="O105" s="696" t="str">
        <f t="shared" ca="1" si="16"/>
        <v>D4</v>
      </c>
      <c r="P105" s="697" t="str">
        <f t="shared" ca="1" si="16"/>
        <v/>
      </c>
      <c r="Q105" s="696" t="str">
        <f t="shared" ca="1" si="16"/>
        <v>D4</v>
      </c>
      <c r="R105" s="697" t="str">
        <f t="shared" ca="1" si="16"/>
        <v>D4</v>
      </c>
      <c r="S105" s="696" t="str">
        <f t="shared" ca="1" si="11"/>
        <v>D4</v>
      </c>
    </row>
    <row r="106" spans="1:19" s="689" customFormat="1" x14ac:dyDescent="0.25">
      <c r="A106" s="681" t="str">
        <f t="shared" ref="A106:A108" si="17">A105</f>
        <v>C</v>
      </c>
      <c r="B106" s="682">
        <f t="shared" ref="B106:B107" si="18">B105+1</f>
        <v>14</v>
      </c>
      <c r="C106" s="683" t="str">
        <f t="shared" ca="1" si="9"/>
        <v>Italië</v>
      </c>
      <c r="D106" s="684" t="str">
        <f ca="1">IF(C106="","",Voorblad!$X$73)</f>
        <v>B3</v>
      </c>
      <c r="E106" s="696">
        <f t="shared" si="14"/>
        <v>14</v>
      </c>
      <c r="F106" s="697" t="str">
        <f t="shared" ca="1" si="15"/>
        <v>F2</v>
      </c>
      <c r="G106" s="696" t="str">
        <f t="shared" ca="1" si="10"/>
        <v>F2</v>
      </c>
      <c r="H106" s="697" t="str">
        <f t="shared" ca="1" si="10"/>
        <v>F2</v>
      </c>
      <c r="I106" s="696" t="str">
        <f t="shared" ca="1" si="10"/>
        <v/>
      </c>
      <c r="J106" s="697" t="str">
        <f t="shared" ca="1" si="10"/>
        <v/>
      </c>
      <c r="K106" s="696" t="str">
        <f t="shared" ca="1" si="10"/>
        <v>F2</v>
      </c>
      <c r="L106" s="697" t="str">
        <f t="shared" ca="1" si="10"/>
        <v/>
      </c>
      <c r="M106" s="696" t="str">
        <f t="shared" ca="1" si="10"/>
        <v>F2</v>
      </c>
      <c r="N106" s="697" t="str">
        <f t="shared" ca="1" si="10"/>
        <v/>
      </c>
      <c r="O106" s="696" t="str">
        <f t="shared" ca="1" si="16"/>
        <v>F2</v>
      </c>
      <c r="P106" s="697" t="str">
        <f t="shared" ca="1" si="16"/>
        <v/>
      </c>
      <c r="Q106" s="696" t="str">
        <f t="shared" ca="1" si="16"/>
        <v/>
      </c>
      <c r="R106" s="697" t="str">
        <f t="shared" ca="1" si="16"/>
        <v>F2</v>
      </c>
      <c r="S106" s="696" t="str">
        <f t="shared" ca="1" si="11"/>
        <v>F2</v>
      </c>
    </row>
    <row r="107" spans="1:19" s="689" customFormat="1" x14ac:dyDescent="0.25">
      <c r="A107" s="681" t="str">
        <f t="shared" si="17"/>
        <v>C</v>
      </c>
      <c r="B107" s="682">
        <f t="shared" si="18"/>
        <v>15</v>
      </c>
      <c r="C107" s="683" t="str">
        <f t="shared" ca="1" si="9"/>
        <v>Albanië</v>
      </c>
      <c r="D107" s="684" t="str">
        <f ca="1">IF(C107="","",Voorblad!$X$74)</f>
        <v>B4</v>
      </c>
      <c r="E107" s="696">
        <f t="shared" si="14"/>
        <v>16</v>
      </c>
      <c r="F107" s="697" t="str">
        <f t="shared" ca="1" si="15"/>
        <v>A3</v>
      </c>
      <c r="G107" s="696" t="str">
        <f t="shared" ca="1" si="10"/>
        <v/>
      </c>
      <c r="H107" s="697" t="str">
        <f t="shared" ca="1" si="10"/>
        <v>A3</v>
      </c>
      <c r="I107" s="696" t="str">
        <f t="shared" ca="1" si="10"/>
        <v>A3</v>
      </c>
      <c r="J107" s="697" t="str">
        <f t="shared" ca="1" si="10"/>
        <v>A3</v>
      </c>
      <c r="K107" s="696" t="str">
        <f t="shared" ca="1" si="10"/>
        <v>A3</v>
      </c>
      <c r="L107" s="697" t="str">
        <f t="shared" ca="1" si="10"/>
        <v>A3</v>
      </c>
      <c r="M107" s="696" t="str">
        <f t="shared" ca="1" si="10"/>
        <v>A3</v>
      </c>
      <c r="N107" s="697" t="str">
        <f t="shared" ca="1" si="10"/>
        <v/>
      </c>
      <c r="O107" s="696" t="str">
        <f t="shared" ca="1" si="16"/>
        <v/>
      </c>
      <c r="P107" s="697" t="str">
        <f t="shared" ca="1" si="16"/>
        <v>A3</v>
      </c>
      <c r="Q107" s="696" t="str">
        <f t="shared" ca="1" si="16"/>
        <v>A3</v>
      </c>
      <c r="R107" s="697" t="str">
        <f t="shared" ca="1" si="16"/>
        <v/>
      </c>
      <c r="S107" s="696" t="str">
        <f t="shared" ca="1" si="11"/>
        <v>A3</v>
      </c>
    </row>
    <row r="108" spans="1:19" s="689" customFormat="1" x14ac:dyDescent="0.25">
      <c r="A108" s="681" t="str">
        <f t="shared" si="17"/>
        <v>C</v>
      </c>
      <c r="B108" s="682">
        <f>B107+2</f>
        <v>17</v>
      </c>
      <c r="C108" s="683" t="str">
        <f t="shared" ca="1" si="9"/>
        <v>Slovenië</v>
      </c>
      <c r="D108" s="684" t="str">
        <f ca="1">IF(C108="","",Voorblad!$X$75)</f>
        <v>C1</v>
      </c>
      <c r="E108" s="696">
        <f t="shared" si="14"/>
        <v>18</v>
      </c>
      <c r="F108" s="697" t="str">
        <f t="shared" ca="1" si="15"/>
        <v>B3</v>
      </c>
      <c r="G108" s="696" t="str">
        <f t="shared" ca="1" si="10"/>
        <v/>
      </c>
      <c r="H108" s="697" t="str">
        <f t="shared" ca="1" si="10"/>
        <v/>
      </c>
      <c r="I108" s="696" t="str">
        <f t="shared" ca="1" si="10"/>
        <v>B3</v>
      </c>
      <c r="J108" s="697" t="str">
        <f t="shared" ca="1" si="10"/>
        <v>B3</v>
      </c>
      <c r="K108" s="696" t="str">
        <f t="shared" ca="1" si="10"/>
        <v>B3</v>
      </c>
      <c r="L108" s="697" t="str">
        <f t="shared" ca="1" si="10"/>
        <v/>
      </c>
      <c r="M108" s="696" t="str">
        <f t="shared" ca="1" si="10"/>
        <v>B3</v>
      </c>
      <c r="N108" s="697" t="str">
        <f t="shared" ca="1" si="10"/>
        <v/>
      </c>
      <c r="O108" s="696" t="str">
        <f t="shared" ca="1" si="16"/>
        <v/>
      </c>
      <c r="P108" s="697" t="str">
        <f t="shared" ca="1" si="16"/>
        <v>B3</v>
      </c>
      <c r="Q108" s="696" t="str">
        <f t="shared" ca="1" si="16"/>
        <v>B3</v>
      </c>
      <c r="R108" s="697" t="str">
        <f t="shared" ca="1" si="16"/>
        <v/>
      </c>
      <c r="S108" s="696" t="str">
        <f t="shared" ca="1" si="11"/>
        <v>B3</v>
      </c>
    </row>
    <row r="109" spans="1:19" s="689" customFormat="1" x14ac:dyDescent="0.25">
      <c r="A109" s="681" t="str">
        <f>A108</f>
        <v>C</v>
      </c>
      <c r="B109" s="682">
        <f>B108+1</f>
        <v>18</v>
      </c>
      <c r="C109" s="683" t="str">
        <f t="shared" ca="1" si="9"/>
        <v>Denemarken</v>
      </c>
      <c r="D109" s="684" t="str">
        <f ca="1">IF(C109="","",Voorblad!$X$76)</f>
        <v>C2</v>
      </c>
      <c r="E109" s="696">
        <f t="shared" si="14"/>
        <v>20</v>
      </c>
      <c r="F109" s="697" t="str">
        <f t="shared" ca="1" si="15"/>
        <v>B2</v>
      </c>
      <c r="G109" s="696" t="str">
        <f t="shared" ca="1" si="10"/>
        <v/>
      </c>
      <c r="H109" s="697" t="str">
        <f t="shared" ca="1" si="10"/>
        <v/>
      </c>
      <c r="I109" s="696" t="str">
        <f t="shared" ca="1" si="10"/>
        <v>B2</v>
      </c>
      <c r="J109" s="697" t="str">
        <f t="shared" ca="1" si="10"/>
        <v>B2</v>
      </c>
      <c r="K109" s="696" t="str">
        <f t="shared" ca="1" si="10"/>
        <v>B2</v>
      </c>
      <c r="L109" s="697" t="str">
        <f t="shared" ca="1" si="10"/>
        <v/>
      </c>
      <c r="M109" s="696" t="str">
        <f t="shared" ca="1" si="10"/>
        <v>B2</v>
      </c>
      <c r="N109" s="697" t="str">
        <f t="shared" ca="1" si="10"/>
        <v/>
      </c>
      <c r="O109" s="696" t="str">
        <f t="shared" ca="1" si="16"/>
        <v/>
      </c>
      <c r="P109" s="697" t="str">
        <f t="shared" ca="1" si="16"/>
        <v>B2</v>
      </c>
      <c r="Q109" s="696" t="str">
        <f t="shared" ca="1" si="16"/>
        <v>B2</v>
      </c>
      <c r="R109" s="697" t="str">
        <f t="shared" ca="1" si="16"/>
        <v/>
      </c>
      <c r="S109" s="696" t="str">
        <f t="shared" ca="1" si="11"/>
        <v>B2</v>
      </c>
    </row>
    <row r="110" spans="1:19" s="689" customFormat="1" x14ac:dyDescent="0.25">
      <c r="A110" s="681" t="str">
        <f t="shared" ref="A110:A112" si="19">A109</f>
        <v>C</v>
      </c>
      <c r="B110" s="682">
        <f t="shared" ref="B110:B111" si="20">B109+1</f>
        <v>19</v>
      </c>
      <c r="C110" s="683" t="str">
        <f t="shared" ca="1" si="9"/>
        <v>Servië</v>
      </c>
      <c r="D110" s="684" t="str">
        <f ca="1">IF(C110="","",Voorblad!$X$77)</f>
        <v>C3</v>
      </c>
      <c r="E110" s="696">
        <f t="shared" si="14"/>
        <v>22</v>
      </c>
      <c r="F110" s="697" t="str">
        <f t="shared" ca="1" si="15"/>
        <v>D2</v>
      </c>
      <c r="G110" s="696" t="str">
        <f t="shared" ca="1" si="10"/>
        <v>D2</v>
      </c>
      <c r="H110" s="697" t="str">
        <f t="shared" ca="1" si="10"/>
        <v>D2</v>
      </c>
      <c r="I110" s="696" t="str">
        <f t="shared" ca="1" si="10"/>
        <v/>
      </c>
      <c r="J110" s="697" t="str">
        <f t="shared" ca="1" si="10"/>
        <v>D2</v>
      </c>
      <c r="K110" s="696" t="str">
        <f t="shared" ca="1" si="10"/>
        <v>D2</v>
      </c>
      <c r="L110" s="697" t="str">
        <f t="shared" ca="1" si="10"/>
        <v/>
      </c>
      <c r="M110" s="696" t="str">
        <f t="shared" ca="1" si="10"/>
        <v/>
      </c>
      <c r="N110" s="697" t="str">
        <f t="shared" ca="1" si="10"/>
        <v>D2</v>
      </c>
      <c r="O110" s="696" t="str">
        <f t="shared" ca="1" si="16"/>
        <v>D2</v>
      </c>
      <c r="P110" s="697" t="str">
        <f t="shared" ca="1" si="16"/>
        <v/>
      </c>
      <c r="Q110" s="696" t="str">
        <f t="shared" ca="1" si="16"/>
        <v>D2</v>
      </c>
      <c r="R110" s="697" t="str">
        <f t="shared" ca="1" si="16"/>
        <v>D2</v>
      </c>
      <c r="S110" s="696" t="str">
        <f t="shared" ca="1" si="11"/>
        <v>D2</v>
      </c>
    </row>
    <row r="111" spans="1:19" s="689" customFormat="1" x14ac:dyDescent="0.25">
      <c r="A111" s="681" t="str">
        <f t="shared" si="19"/>
        <v>C</v>
      </c>
      <c r="B111" s="682">
        <f t="shared" si="20"/>
        <v>20</v>
      </c>
      <c r="C111" s="683" t="str">
        <f t="shared" ca="1" si="9"/>
        <v>Engeland</v>
      </c>
      <c r="D111" s="684" t="str">
        <f ca="1">IF(C111="","",Voorblad!$X$78)</f>
        <v>C4</v>
      </c>
      <c r="E111" s="696">
        <f t="shared" si="14"/>
        <v>24</v>
      </c>
      <c r="F111" s="697" t="str">
        <f t="shared" ca="1" si="15"/>
        <v>E4</v>
      </c>
      <c r="G111" s="696" t="str">
        <f t="shared" ca="1" si="10"/>
        <v>E4</v>
      </c>
      <c r="H111" s="697" t="str">
        <f t="shared" ca="1" si="10"/>
        <v>E4</v>
      </c>
      <c r="I111" s="696" t="str">
        <f t="shared" ca="1" si="10"/>
        <v/>
      </c>
      <c r="J111" s="697" t="str">
        <f t="shared" ca="1" si="10"/>
        <v/>
      </c>
      <c r="K111" s="696" t="str">
        <f t="shared" ca="1" si="10"/>
        <v>E4</v>
      </c>
      <c r="L111" s="697" t="str">
        <f t="shared" ca="1" si="10"/>
        <v/>
      </c>
      <c r="M111" s="696" t="str">
        <f t="shared" ca="1" si="10"/>
        <v/>
      </c>
      <c r="N111" s="697" t="str">
        <f t="shared" ca="1" si="10"/>
        <v>E4</v>
      </c>
      <c r="O111" s="696" t="str">
        <f t="shared" ca="1" si="16"/>
        <v>E4</v>
      </c>
      <c r="P111" s="697" t="str">
        <f t="shared" ca="1" si="16"/>
        <v/>
      </c>
      <c r="Q111" s="696" t="str">
        <f t="shared" ca="1" si="16"/>
        <v>E4</v>
      </c>
      <c r="R111" s="697" t="str">
        <f t="shared" ca="1" si="16"/>
        <v/>
      </c>
      <c r="S111" s="696" t="str">
        <f t="shared" ca="1" si="11"/>
        <v>E4</v>
      </c>
    </row>
    <row r="112" spans="1:19" s="689" customFormat="1" x14ac:dyDescent="0.25">
      <c r="A112" s="681" t="str">
        <f t="shared" si="19"/>
        <v>C</v>
      </c>
      <c r="B112" s="682">
        <f>B111+2</f>
        <v>22</v>
      </c>
      <c r="C112" s="683" t="str">
        <f t="shared" ca="1" si="9"/>
        <v>Polen</v>
      </c>
      <c r="D112" s="684" t="str">
        <f ca="1">IF(C112="","",Voorblad!$X$79)</f>
        <v>D1</v>
      </c>
      <c r="E112" s="696">
        <f t="shared" si="14"/>
        <v>26</v>
      </c>
      <c r="F112" s="697" t="str">
        <f t="shared" ca="1" si="15"/>
        <v>D3</v>
      </c>
      <c r="G112" s="696" t="str">
        <f t="shared" ca="1" si="10"/>
        <v>D3</v>
      </c>
      <c r="H112" s="697" t="str">
        <f t="shared" ca="1" si="10"/>
        <v>D3</v>
      </c>
      <c r="I112" s="696" t="str">
        <f t="shared" ca="1" si="10"/>
        <v/>
      </c>
      <c r="J112" s="697" t="str">
        <f t="shared" ca="1" si="10"/>
        <v>D3</v>
      </c>
      <c r="K112" s="696" t="str">
        <f t="shared" ca="1" si="10"/>
        <v>D3</v>
      </c>
      <c r="L112" s="697" t="str">
        <f t="shared" ca="1" si="10"/>
        <v/>
      </c>
      <c r="M112" s="696" t="str">
        <f t="shared" ca="1" si="10"/>
        <v/>
      </c>
      <c r="N112" s="697" t="str">
        <f t="shared" ca="1" si="10"/>
        <v>D3</v>
      </c>
      <c r="O112" s="696" t="str">
        <f t="shared" ca="1" si="16"/>
        <v>D3</v>
      </c>
      <c r="P112" s="697" t="str">
        <f t="shared" ca="1" si="16"/>
        <v/>
      </c>
      <c r="Q112" s="696" t="str">
        <f t="shared" ca="1" si="16"/>
        <v>D3</v>
      </c>
      <c r="R112" s="697" t="str">
        <f t="shared" ca="1" si="16"/>
        <v>D3</v>
      </c>
      <c r="S112" s="696" t="str">
        <f t="shared" ca="1" si="11"/>
        <v>D3</v>
      </c>
    </row>
    <row r="113" spans="1:19" s="689" customFormat="1" x14ac:dyDescent="0.25">
      <c r="A113" s="681" t="str">
        <f>A112</f>
        <v>C</v>
      </c>
      <c r="B113" s="682">
        <f>B112+1</f>
        <v>23</v>
      </c>
      <c r="C113" s="683" t="str">
        <f t="shared" ca="1" si="9"/>
        <v>Nederland</v>
      </c>
      <c r="D113" s="684" t="str">
        <f ca="1">IF(C113="","",Voorblad!$X$80)</f>
        <v>D2</v>
      </c>
      <c r="E113" s="696">
        <f t="shared" si="14"/>
        <v>28</v>
      </c>
      <c r="F113" s="697" t="str">
        <f t="shared" ca="1" si="15"/>
        <v>D1</v>
      </c>
      <c r="G113" s="696" t="str">
        <f t="shared" ca="1" si="10"/>
        <v>D1</v>
      </c>
      <c r="H113" s="697" t="str">
        <f t="shared" ca="1" si="10"/>
        <v>D1</v>
      </c>
      <c r="I113" s="696" t="str">
        <f t="shared" ca="1" si="10"/>
        <v/>
      </c>
      <c r="J113" s="697" t="str">
        <f t="shared" ca="1" si="10"/>
        <v>D1</v>
      </c>
      <c r="K113" s="696" t="str">
        <f t="shared" ca="1" si="10"/>
        <v>D1</v>
      </c>
      <c r="L113" s="697" t="str">
        <f t="shared" ca="1" si="10"/>
        <v/>
      </c>
      <c r="M113" s="696" t="str">
        <f t="shared" ca="1" si="10"/>
        <v/>
      </c>
      <c r="N113" s="697" t="str">
        <f t="shared" ca="1" si="10"/>
        <v>D1</v>
      </c>
      <c r="O113" s="696" t="str">
        <f t="shared" ca="1" si="16"/>
        <v>D1</v>
      </c>
      <c r="P113" s="697" t="str">
        <f t="shared" ca="1" si="16"/>
        <v/>
      </c>
      <c r="Q113" s="696" t="str">
        <f t="shared" ca="1" si="16"/>
        <v>D1</v>
      </c>
      <c r="R113" s="697" t="str">
        <f t="shared" ca="1" si="16"/>
        <v>D1</v>
      </c>
      <c r="S113" s="696" t="str">
        <f t="shared" ca="1" si="11"/>
        <v>D1</v>
      </c>
    </row>
    <row r="114" spans="1:19" s="689" customFormat="1" x14ac:dyDescent="0.25">
      <c r="A114" s="681" t="str">
        <f t="shared" ref="A114:A116" si="21">A113</f>
        <v>C</v>
      </c>
      <c r="B114" s="682">
        <f t="shared" ref="B114:B115" si="22">B113+1</f>
        <v>24</v>
      </c>
      <c r="C114" s="683" t="str">
        <f t="shared" ca="1" si="9"/>
        <v>Oostenrijk</v>
      </c>
      <c r="D114" s="684" t="str">
        <f ca="1">IF(C114="","",Voorblad!$X$81)</f>
        <v>D3</v>
      </c>
      <c r="E114" s="696">
        <f t="shared" si="14"/>
        <v>30</v>
      </c>
      <c r="F114" s="697" t="str">
        <f t="shared" ca="1" si="15"/>
        <v>F3</v>
      </c>
      <c r="G114" s="696" t="str">
        <f t="shared" ca="1" si="10"/>
        <v>F3</v>
      </c>
      <c r="H114" s="697" t="str">
        <f t="shared" ca="1" si="10"/>
        <v>F3</v>
      </c>
      <c r="I114" s="696" t="str">
        <f t="shared" ca="1" si="10"/>
        <v/>
      </c>
      <c r="J114" s="697" t="str">
        <f t="shared" ca="1" si="10"/>
        <v/>
      </c>
      <c r="K114" s="696" t="str">
        <f t="shared" ca="1" si="10"/>
        <v>F3</v>
      </c>
      <c r="L114" s="697" t="str">
        <f t="shared" ca="1" si="10"/>
        <v/>
      </c>
      <c r="M114" s="696" t="str">
        <f t="shared" ca="1" si="10"/>
        <v>F3</v>
      </c>
      <c r="N114" s="697" t="str">
        <f t="shared" ca="1" si="10"/>
        <v/>
      </c>
      <c r="O114" s="696" t="str">
        <f t="shared" ca="1" si="16"/>
        <v>F3</v>
      </c>
      <c r="P114" s="697" t="str">
        <f t="shared" ca="1" si="16"/>
        <v/>
      </c>
      <c r="Q114" s="696" t="str">
        <f t="shared" ca="1" si="16"/>
        <v/>
      </c>
      <c r="R114" s="697" t="str">
        <f t="shared" ca="1" si="16"/>
        <v>F3</v>
      </c>
      <c r="S114" s="696" t="str">
        <f t="shared" ca="1" si="11"/>
        <v>F3</v>
      </c>
    </row>
    <row r="115" spans="1:19" s="689" customFormat="1" x14ac:dyDescent="0.25">
      <c r="A115" s="681" t="str">
        <f t="shared" si="21"/>
        <v>C</v>
      </c>
      <c r="B115" s="682">
        <f t="shared" si="22"/>
        <v>25</v>
      </c>
      <c r="C115" s="683" t="str">
        <f t="shared" ca="1" si="9"/>
        <v>Frankrijk</v>
      </c>
      <c r="D115" s="684" t="str">
        <f ca="1">IF(C115="","",Voorblad!$X$82)</f>
        <v>D4</v>
      </c>
      <c r="E115" s="696">
        <f t="shared" si="14"/>
        <v>32</v>
      </c>
      <c r="F115" s="697" t="str">
        <f t="shared" ca="1" si="15"/>
        <v>E3</v>
      </c>
      <c r="G115" s="696" t="str">
        <f t="shared" ca="1" si="10"/>
        <v>E3</v>
      </c>
      <c r="H115" s="697" t="str">
        <f t="shared" ca="1" si="10"/>
        <v>E3</v>
      </c>
      <c r="I115" s="696" t="str">
        <f t="shared" ca="1" si="10"/>
        <v/>
      </c>
      <c r="J115" s="697" t="str">
        <f t="shared" ca="1" si="10"/>
        <v/>
      </c>
      <c r="K115" s="696" t="str">
        <f t="shared" ca="1" si="10"/>
        <v>E3</v>
      </c>
      <c r="L115" s="697" t="str">
        <f t="shared" ca="1" si="10"/>
        <v/>
      </c>
      <c r="M115" s="696" t="str">
        <f t="shared" ca="1" si="10"/>
        <v/>
      </c>
      <c r="N115" s="697" t="str">
        <f t="shared" ca="1" si="10"/>
        <v>E3</v>
      </c>
      <c r="O115" s="696" t="str">
        <f t="shared" ca="1" si="16"/>
        <v>E3</v>
      </c>
      <c r="P115" s="697" t="str">
        <f t="shared" ca="1" si="16"/>
        <v/>
      </c>
      <c r="Q115" s="696" t="str">
        <f t="shared" ca="1" si="16"/>
        <v>E3</v>
      </c>
      <c r="R115" s="697" t="str">
        <f t="shared" ca="1" si="16"/>
        <v/>
      </c>
      <c r="S115" s="696" t="str">
        <f t="shared" ca="1" si="11"/>
        <v>E3</v>
      </c>
    </row>
    <row r="116" spans="1:19" s="689" customFormat="1" x14ac:dyDescent="0.25">
      <c r="A116" s="681" t="str">
        <f t="shared" si="21"/>
        <v>C</v>
      </c>
      <c r="B116" s="682">
        <f>B115+2</f>
        <v>27</v>
      </c>
      <c r="C116" s="683" t="str">
        <f t="shared" ca="1" si="9"/>
        <v>België</v>
      </c>
      <c r="D116" s="684" t="str">
        <f ca="1">IF(C116="","",Voorblad!$X$83)</f>
        <v>E1</v>
      </c>
      <c r="E116" s="696">
        <f t="shared" si="14"/>
        <v>34</v>
      </c>
      <c r="F116" s="697" t="str">
        <f t="shared" ca="1" si="15"/>
        <v>A2</v>
      </c>
      <c r="G116" s="696" t="str">
        <f t="shared" ca="1" si="10"/>
        <v/>
      </c>
      <c r="H116" s="697" t="str">
        <f t="shared" ca="1" si="10"/>
        <v>A2</v>
      </c>
      <c r="I116" s="696" t="str">
        <f t="shared" ca="1" si="10"/>
        <v>A2</v>
      </c>
      <c r="J116" s="697" t="str">
        <f t="shared" ca="1" si="10"/>
        <v>A2</v>
      </c>
      <c r="K116" s="696" t="str">
        <f t="shared" ca="1" si="10"/>
        <v>A2</v>
      </c>
      <c r="L116" s="697" t="str">
        <f t="shared" ca="1" si="10"/>
        <v>A2</v>
      </c>
      <c r="M116" s="696" t="str">
        <f t="shared" ca="1" si="10"/>
        <v>A2</v>
      </c>
      <c r="N116" s="697" t="str">
        <f t="shared" ca="1" si="10"/>
        <v/>
      </c>
      <c r="O116" s="696" t="str">
        <f t="shared" ca="1" si="16"/>
        <v/>
      </c>
      <c r="P116" s="697" t="str">
        <f t="shared" ca="1" si="16"/>
        <v>A2</v>
      </c>
      <c r="Q116" s="696" t="str">
        <f t="shared" ca="1" si="16"/>
        <v>A2</v>
      </c>
      <c r="R116" s="697" t="str">
        <f t="shared" ca="1" si="16"/>
        <v/>
      </c>
      <c r="S116" s="696" t="str">
        <f t="shared" ca="1" si="11"/>
        <v>A2</v>
      </c>
    </row>
    <row r="117" spans="1:19" s="689" customFormat="1" x14ac:dyDescent="0.25">
      <c r="A117" s="681" t="str">
        <f>A116</f>
        <v>C</v>
      </c>
      <c r="B117" s="682">
        <f>B116+1</f>
        <v>28</v>
      </c>
      <c r="C117" s="683" t="str">
        <f t="shared" ca="1" si="9"/>
        <v>Slowakije</v>
      </c>
      <c r="D117" s="684" t="str">
        <f ca="1">IF(C117="","",Voorblad!$X$84)</f>
        <v>E2</v>
      </c>
      <c r="E117" s="696">
        <f t="shared" si="14"/>
        <v>36</v>
      </c>
      <c r="F117" s="697" t="str">
        <f t="shared" ca="1" si="15"/>
        <v>C3</v>
      </c>
      <c r="G117" s="696" t="str">
        <f t="shared" ca="1" si="10"/>
        <v/>
      </c>
      <c r="H117" s="697" t="str">
        <f t="shared" ca="1" si="10"/>
        <v/>
      </c>
      <c r="I117" s="696" t="str">
        <f t="shared" ca="1" si="10"/>
        <v>C3</v>
      </c>
      <c r="J117" s="697" t="str">
        <f t="shared" ca="1" si="10"/>
        <v>C3</v>
      </c>
      <c r="K117" s="696" t="str">
        <f t="shared" ca="1" si="10"/>
        <v/>
      </c>
      <c r="L117" s="697" t="str">
        <f t="shared" ca="1" si="10"/>
        <v>C3</v>
      </c>
      <c r="M117" s="696" t="str">
        <f t="shared" ca="1" si="10"/>
        <v>C3</v>
      </c>
      <c r="N117" s="697" t="str">
        <f t="shared" ca="1" si="10"/>
        <v/>
      </c>
      <c r="O117" s="696" t="str">
        <f t="shared" ca="1" si="16"/>
        <v>C3</v>
      </c>
      <c r="P117" s="697" t="str">
        <f t="shared" ca="1" si="16"/>
        <v/>
      </c>
      <c r="Q117" s="696" t="str">
        <f t="shared" ca="1" si="16"/>
        <v>C3</v>
      </c>
      <c r="R117" s="697" t="str">
        <f t="shared" ca="1" si="16"/>
        <v/>
      </c>
      <c r="S117" s="696" t="str">
        <f t="shared" ca="1" si="11"/>
        <v>C3</v>
      </c>
    </row>
    <row r="118" spans="1:19" s="689" customFormat="1" x14ac:dyDescent="0.25">
      <c r="A118" s="681" t="str">
        <f t="shared" ref="A118:A120" si="23">A117</f>
        <v>C</v>
      </c>
      <c r="B118" s="682">
        <f t="shared" ref="B118:B119" si="24">B117+1</f>
        <v>29</v>
      </c>
      <c r="C118" s="683" t="str">
        <f t="shared" ca="1" si="9"/>
        <v>Roemenië</v>
      </c>
      <c r="D118" s="684" t="str">
        <f ca="1">IF(C118="","",Voorblad!$X$85)</f>
        <v>E3</v>
      </c>
      <c r="E118" s="696">
        <f t="shared" si="14"/>
        <v>38</v>
      </c>
      <c r="F118" s="697" t="str">
        <f t="shared" ca="1" si="15"/>
        <v>C1</v>
      </c>
      <c r="G118" s="696" t="str">
        <f t="shared" ca="1" si="10"/>
        <v/>
      </c>
      <c r="H118" s="697" t="str">
        <f t="shared" ca="1" si="10"/>
        <v/>
      </c>
      <c r="I118" s="696" t="str">
        <f t="shared" ca="1" si="10"/>
        <v>C1</v>
      </c>
      <c r="J118" s="697" t="str">
        <f t="shared" ca="1" si="10"/>
        <v>C1</v>
      </c>
      <c r="K118" s="696" t="str">
        <f t="shared" ca="1" si="10"/>
        <v/>
      </c>
      <c r="L118" s="697" t="str">
        <f t="shared" ca="1" si="10"/>
        <v>C1</v>
      </c>
      <c r="M118" s="696" t="str">
        <f t="shared" ca="1" si="10"/>
        <v>C1</v>
      </c>
      <c r="N118" s="697" t="str">
        <f t="shared" ca="1" si="10"/>
        <v/>
      </c>
      <c r="O118" s="696" t="str">
        <f t="shared" ca="1" si="16"/>
        <v>C1</v>
      </c>
      <c r="P118" s="697" t="str">
        <f t="shared" ca="1" si="16"/>
        <v/>
      </c>
      <c r="Q118" s="696" t="str">
        <f t="shared" ca="1" si="16"/>
        <v>C1</v>
      </c>
      <c r="R118" s="697" t="str">
        <f t="shared" ca="1" si="16"/>
        <v/>
      </c>
      <c r="S118" s="696" t="str">
        <f t="shared" ca="1" si="11"/>
        <v>C1</v>
      </c>
    </row>
    <row r="119" spans="1:19" s="689" customFormat="1" x14ac:dyDescent="0.25">
      <c r="A119" s="681" t="str">
        <f t="shared" si="23"/>
        <v>C</v>
      </c>
      <c r="B119" s="682">
        <f t="shared" si="24"/>
        <v>30</v>
      </c>
      <c r="C119" s="683" t="str">
        <f t="shared" ca="1" si="9"/>
        <v>Oekraïne</v>
      </c>
      <c r="D119" s="684" t="str">
        <f ca="1">IF(C119="","",Voorblad!$X$86)</f>
        <v>E4</v>
      </c>
      <c r="E119" s="696">
        <f t="shared" si="14"/>
        <v>40</v>
      </c>
      <c r="F119" s="697" t="str">
        <f t="shared" ca="1" si="15"/>
        <v>E2</v>
      </c>
      <c r="G119" s="696" t="str">
        <f t="shared" ca="1" si="10"/>
        <v>E2</v>
      </c>
      <c r="H119" s="697" t="str">
        <f t="shared" ca="1" si="10"/>
        <v>E2</v>
      </c>
      <c r="I119" s="696" t="str">
        <f t="shared" ca="1" si="10"/>
        <v/>
      </c>
      <c r="J119" s="697" t="str">
        <f t="shared" ca="1" si="10"/>
        <v/>
      </c>
      <c r="K119" s="696" t="str">
        <f t="shared" ca="1" si="10"/>
        <v>E2</v>
      </c>
      <c r="L119" s="697" t="str">
        <f t="shared" ca="1" si="10"/>
        <v/>
      </c>
      <c r="M119" s="696" t="str">
        <f t="shared" ca="1" si="10"/>
        <v/>
      </c>
      <c r="N119" s="697" t="str">
        <f t="shared" ca="1" si="10"/>
        <v>E2</v>
      </c>
      <c r="O119" s="696" t="str">
        <f t="shared" ca="1" si="16"/>
        <v>E2</v>
      </c>
      <c r="P119" s="697" t="str">
        <f t="shared" ca="1" si="16"/>
        <v/>
      </c>
      <c r="Q119" s="696" t="str">
        <f t="shared" ca="1" si="16"/>
        <v>E2</v>
      </c>
      <c r="R119" s="697" t="str">
        <f t="shared" ca="1" si="16"/>
        <v/>
      </c>
      <c r="S119" s="696" t="str">
        <f t="shared" ca="1" si="11"/>
        <v>E2</v>
      </c>
    </row>
    <row r="120" spans="1:19" s="689" customFormat="1" x14ac:dyDescent="0.25">
      <c r="A120" s="681" t="str">
        <f t="shared" si="23"/>
        <v>C</v>
      </c>
      <c r="B120" s="682">
        <f>B119+2</f>
        <v>32</v>
      </c>
      <c r="C120" s="683" t="str">
        <f t="shared" ca="1" si="9"/>
        <v>Turkije</v>
      </c>
      <c r="D120" s="684" t="str">
        <f ca="1">IF(C120="","",Voorblad!$X$87)</f>
        <v>F1</v>
      </c>
      <c r="E120" s="696">
        <f t="shared" si="14"/>
        <v>42</v>
      </c>
      <c r="F120" s="697" t="str">
        <f t="shared" ca="1" si="15"/>
        <v>B1</v>
      </c>
      <c r="G120" s="696" t="str">
        <f t="shared" ca="1" si="10"/>
        <v/>
      </c>
      <c r="H120" s="697" t="str">
        <f t="shared" ca="1" si="10"/>
        <v/>
      </c>
      <c r="I120" s="696" t="str">
        <f t="shared" ca="1" si="10"/>
        <v>B1</v>
      </c>
      <c r="J120" s="697" t="str">
        <f t="shared" ca="1" si="10"/>
        <v>B1</v>
      </c>
      <c r="K120" s="696" t="str">
        <f t="shared" ca="1" si="10"/>
        <v>B1</v>
      </c>
      <c r="L120" s="697" t="str">
        <f t="shared" ca="1" si="10"/>
        <v/>
      </c>
      <c r="M120" s="696" t="str">
        <f t="shared" ca="1" si="10"/>
        <v>B1</v>
      </c>
      <c r="N120" s="697" t="str">
        <f t="shared" ca="1" si="10"/>
        <v/>
      </c>
      <c r="O120" s="696" t="str">
        <f t="shared" ca="1" si="16"/>
        <v/>
      </c>
      <c r="P120" s="697" t="str">
        <f t="shared" ca="1" si="16"/>
        <v>B1</v>
      </c>
      <c r="Q120" s="696" t="str">
        <f t="shared" ca="1" si="16"/>
        <v>B1</v>
      </c>
      <c r="R120" s="697" t="str">
        <f t="shared" ca="1" si="16"/>
        <v/>
      </c>
      <c r="S120" s="696" t="str">
        <f t="shared" ca="1" si="11"/>
        <v>B1</v>
      </c>
    </row>
    <row r="121" spans="1:19" s="689" customFormat="1" x14ac:dyDescent="0.25">
      <c r="A121" s="681" t="str">
        <f>A120</f>
        <v>C</v>
      </c>
      <c r="B121" s="682">
        <f>B120+1</f>
        <v>33</v>
      </c>
      <c r="C121" s="683" t="str">
        <f t="shared" ca="1" si="9"/>
        <v>Georgië</v>
      </c>
      <c r="D121" s="684" t="str">
        <f ca="1">IF(C121="","",Voorblad!$X$88)</f>
        <v>F2</v>
      </c>
      <c r="E121" s="696">
        <f t="shared" si="14"/>
        <v>44</v>
      </c>
      <c r="F121" s="697" t="str">
        <f t="shared" ca="1" si="15"/>
        <v>F4</v>
      </c>
      <c r="G121" s="696" t="str">
        <f t="shared" ca="1" si="10"/>
        <v>F4</v>
      </c>
      <c r="H121" s="697" t="str">
        <f t="shared" ca="1" si="10"/>
        <v>F4</v>
      </c>
      <c r="I121" s="696" t="str">
        <f t="shared" ca="1" si="10"/>
        <v/>
      </c>
      <c r="J121" s="697" t="str">
        <f t="shared" ca="1" si="10"/>
        <v/>
      </c>
      <c r="K121" s="696" t="str">
        <f t="shared" ca="1" si="10"/>
        <v>F4</v>
      </c>
      <c r="L121" s="697" t="str">
        <f t="shared" ca="1" si="10"/>
        <v/>
      </c>
      <c r="M121" s="696" t="str">
        <f t="shared" ca="1" si="10"/>
        <v>F4</v>
      </c>
      <c r="N121" s="697" t="str">
        <f t="shared" ca="1" si="10"/>
        <v/>
      </c>
      <c r="O121" s="696" t="str">
        <f t="shared" ca="1" si="16"/>
        <v>F4</v>
      </c>
      <c r="P121" s="697" t="str">
        <f t="shared" ca="1" si="16"/>
        <v/>
      </c>
      <c r="Q121" s="696" t="str">
        <f t="shared" ca="1" si="16"/>
        <v/>
      </c>
      <c r="R121" s="697" t="str">
        <f t="shared" ca="1" si="16"/>
        <v>F4</v>
      </c>
      <c r="S121" s="696" t="str">
        <f t="shared" ca="1" si="11"/>
        <v>F4</v>
      </c>
    </row>
    <row r="122" spans="1:19" s="689" customFormat="1" x14ac:dyDescent="0.25">
      <c r="A122" s="681" t="str">
        <f t="shared" ref="A122:A124" si="25">A121</f>
        <v>C</v>
      </c>
      <c r="B122" s="682">
        <f t="shared" ref="B122:B123" si="26">B121+1</f>
        <v>34</v>
      </c>
      <c r="C122" s="683" t="str">
        <f t="shared" ca="1" si="9"/>
        <v>Portugal</v>
      </c>
      <c r="D122" s="684" t="str">
        <f ca="1">IF(C122="","",Voorblad!$X$89)</f>
        <v>F3</v>
      </c>
      <c r="E122" s="696">
        <f t="shared" si="14"/>
        <v>46</v>
      </c>
      <c r="F122" s="697" t="str">
        <f t="shared" ca="1" si="15"/>
        <v>F1</v>
      </c>
      <c r="G122" s="696" t="str">
        <f t="shared" ca="1" si="10"/>
        <v>F1</v>
      </c>
      <c r="H122" s="697" t="str">
        <f t="shared" ca="1" si="10"/>
        <v>F1</v>
      </c>
      <c r="I122" s="696" t="str">
        <f t="shared" ca="1" si="10"/>
        <v/>
      </c>
      <c r="J122" s="697" t="str">
        <f t="shared" ca="1" si="10"/>
        <v/>
      </c>
      <c r="K122" s="696" t="str">
        <f t="shared" ca="1" si="10"/>
        <v>F1</v>
      </c>
      <c r="L122" s="697" t="str">
        <f t="shared" ca="1" si="10"/>
        <v/>
      </c>
      <c r="M122" s="696" t="str">
        <f t="shared" ca="1" si="10"/>
        <v>F1</v>
      </c>
      <c r="N122" s="697" t="str">
        <f t="shared" ca="1" si="10"/>
        <v/>
      </c>
      <c r="O122" s="696" t="str">
        <f t="shared" ca="1" si="16"/>
        <v>F1</v>
      </c>
      <c r="P122" s="697" t="str">
        <f t="shared" ca="1" si="16"/>
        <v/>
      </c>
      <c r="Q122" s="696" t="str">
        <f t="shared" ca="1" si="16"/>
        <v/>
      </c>
      <c r="R122" s="697" t="str">
        <f t="shared" ca="1" si="16"/>
        <v>F1</v>
      </c>
      <c r="S122" s="696" t="str">
        <f t="shared" ca="1" si="11"/>
        <v>F1</v>
      </c>
    </row>
    <row r="123" spans="1:19" s="689" customFormat="1" x14ac:dyDescent="0.25">
      <c r="A123" s="681" t="str">
        <f t="shared" si="25"/>
        <v>C</v>
      </c>
      <c r="B123" s="682">
        <f t="shared" si="26"/>
        <v>35</v>
      </c>
      <c r="C123" s="683" t="str">
        <f t="shared" ca="1" si="9"/>
        <v>Tsjechië</v>
      </c>
      <c r="D123" s="684" t="str">
        <f ca="1">IF(C123="","",Voorblad!$X$90)</f>
        <v>F4</v>
      </c>
      <c r="E123" s="696">
        <f t="shared" si="14"/>
        <v>48</v>
      </c>
      <c r="F123" s="697" t="str">
        <f t="shared" ca="1" si="15"/>
        <v>A4</v>
      </c>
      <c r="G123" s="696" t="str">
        <f t="shared" ca="1" si="10"/>
        <v/>
      </c>
      <c r="H123" s="697" t="str">
        <f t="shared" ca="1" si="10"/>
        <v>A4</v>
      </c>
      <c r="I123" s="696" t="str">
        <f t="shared" ca="1" si="10"/>
        <v>A4</v>
      </c>
      <c r="J123" s="697" t="str">
        <f t="shared" ca="1" si="10"/>
        <v>A4</v>
      </c>
      <c r="K123" s="696" t="str">
        <f t="shared" ca="1" si="10"/>
        <v>A4</v>
      </c>
      <c r="L123" s="697" t="str">
        <f t="shared" ca="1" si="10"/>
        <v>A4</v>
      </c>
      <c r="M123" s="696" t="str">
        <f t="shared" ca="1" si="10"/>
        <v>A4</v>
      </c>
      <c r="N123" s="697" t="str">
        <f t="shared" ca="1" si="10"/>
        <v/>
      </c>
      <c r="O123" s="696" t="str">
        <f t="shared" ca="1" si="16"/>
        <v/>
      </c>
      <c r="P123" s="697" t="str">
        <f t="shared" ca="1" si="16"/>
        <v>A4</v>
      </c>
      <c r="Q123" s="696" t="str">
        <f t="shared" ca="1" si="16"/>
        <v>A4</v>
      </c>
      <c r="R123" s="697" t="str">
        <f t="shared" ca="1" si="16"/>
        <v/>
      </c>
      <c r="S123" s="696" t="str">
        <f t="shared" ca="1" si="11"/>
        <v>A4</v>
      </c>
    </row>
    <row r="124" spans="1:19" s="689" customFormat="1" x14ac:dyDescent="0.25">
      <c r="A124" s="681" t="str">
        <f t="shared" si="25"/>
        <v>C</v>
      </c>
      <c r="B124" s="682">
        <f>B123+2</f>
        <v>37</v>
      </c>
      <c r="C124" s="683" t="str">
        <f t="shared" ca="1" si="9"/>
        <v>ZZZ_land_G1</v>
      </c>
      <c r="D124" s="684" t="str">
        <f ca="1">IF(C124="","",Voorblad!$X$91)</f>
        <v>G1</v>
      </c>
      <c r="E124" s="696">
        <f t="shared" si="14"/>
        <v>50</v>
      </c>
      <c r="F124" s="697" t="str">
        <f t="shared" ca="1" si="15"/>
        <v>G1</v>
      </c>
      <c r="G124" s="696" t="str">
        <f t="shared" ca="1" si="10"/>
        <v/>
      </c>
      <c r="H124" s="697" t="str">
        <f t="shared" ca="1" si="10"/>
        <v/>
      </c>
      <c r="I124" s="696" t="str">
        <f t="shared" ca="1" si="10"/>
        <v/>
      </c>
      <c r="J124" s="697" t="str">
        <f t="shared" ca="1" si="10"/>
        <v/>
      </c>
      <c r="K124" s="696" t="str">
        <f t="shared" ca="1" si="10"/>
        <v/>
      </c>
      <c r="L124" s="697" t="str">
        <f t="shared" ca="1" si="10"/>
        <v/>
      </c>
      <c r="M124" s="696" t="str">
        <f t="shared" ca="1" si="10"/>
        <v/>
      </c>
      <c r="N124" s="697" t="str">
        <f t="shared" ca="1" si="10"/>
        <v/>
      </c>
      <c r="O124" s="696" t="str">
        <f t="shared" ca="1" si="16"/>
        <v/>
      </c>
      <c r="P124" s="697" t="str">
        <f t="shared" ca="1" si="16"/>
        <v/>
      </c>
      <c r="Q124" s="696" t="str">
        <f t="shared" ca="1" si="16"/>
        <v/>
      </c>
      <c r="R124" s="697" t="str">
        <f t="shared" ca="1" si="16"/>
        <v/>
      </c>
      <c r="S124" s="696" t="str">
        <f t="shared" ca="1" si="11"/>
        <v/>
      </c>
    </row>
    <row r="125" spans="1:19" s="689" customFormat="1" x14ac:dyDescent="0.25">
      <c r="A125" s="681" t="str">
        <f>A124</f>
        <v>C</v>
      </c>
      <c r="B125" s="682">
        <f>B124+1</f>
        <v>38</v>
      </c>
      <c r="C125" s="683" t="str">
        <f t="shared" ca="1" si="9"/>
        <v>ZZZ_land_G2</v>
      </c>
      <c r="D125" s="684" t="str">
        <f ca="1">IF(C125="","",Voorblad!$X$92)</f>
        <v>G2</v>
      </c>
      <c r="E125" s="696">
        <f t="shared" si="14"/>
        <v>52</v>
      </c>
      <c r="F125" s="697" t="str">
        <f t="shared" ca="1" si="15"/>
        <v>G2</v>
      </c>
      <c r="G125" s="696" t="str">
        <f t="shared" ca="1" si="10"/>
        <v/>
      </c>
      <c r="H125" s="697" t="str">
        <f t="shared" ca="1" si="10"/>
        <v/>
      </c>
      <c r="I125" s="696" t="str">
        <f t="shared" ca="1" si="10"/>
        <v/>
      </c>
      <c r="J125" s="697" t="str">
        <f t="shared" ca="1" si="10"/>
        <v/>
      </c>
      <c r="K125" s="696" t="str">
        <f t="shared" ca="1" si="10"/>
        <v/>
      </c>
      <c r="L125" s="697" t="str">
        <f t="shared" ca="1" si="10"/>
        <v/>
      </c>
      <c r="M125" s="696" t="str">
        <f t="shared" ca="1" si="10"/>
        <v/>
      </c>
      <c r="N125" s="697" t="str">
        <f t="shared" ca="1" si="10"/>
        <v/>
      </c>
      <c r="O125" s="696" t="str">
        <f t="shared" ca="1" si="16"/>
        <v/>
      </c>
      <c r="P125" s="697" t="str">
        <f t="shared" ca="1" si="16"/>
        <v/>
      </c>
      <c r="Q125" s="696" t="str">
        <f t="shared" ca="1" si="16"/>
        <v/>
      </c>
      <c r="R125" s="697" t="str">
        <f t="shared" ca="1" si="16"/>
        <v/>
      </c>
      <c r="S125" s="696" t="str">
        <f t="shared" ca="1" si="11"/>
        <v/>
      </c>
    </row>
    <row r="126" spans="1:19" s="689" customFormat="1" x14ac:dyDescent="0.25">
      <c r="A126" s="681" t="str">
        <f t="shared" ref="A126:A128" si="27">A125</f>
        <v>C</v>
      </c>
      <c r="B126" s="682">
        <f t="shared" ref="B126:B127" si="28">B125+1</f>
        <v>39</v>
      </c>
      <c r="C126" s="683" t="str">
        <f t="shared" ca="1" si="9"/>
        <v>ZZZ_land_G3</v>
      </c>
      <c r="D126" s="684" t="str">
        <f ca="1">IF(C126="","",Voorblad!$X$93)</f>
        <v>G3</v>
      </c>
      <c r="E126" s="696">
        <f t="shared" si="14"/>
        <v>54</v>
      </c>
      <c r="F126" s="697" t="str">
        <f t="shared" ca="1" si="15"/>
        <v>G3</v>
      </c>
      <c r="G126" s="696" t="str">
        <f t="shared" ca="1" si="10"/>
        <v/>
      </c>
      <c r="H126" s="697" t="str">
        <f t="shared" ca="1" si="10"/>
        <v/>
      </c>
      <c r="I126" s="696" t="str">
        <f t="shared" ca="1" si="10"/>
        <v/>
      </c>
      <c r="J126" s="697" t="str">
        <f t="shared" ca="1" si="10"/>
        <v/>
      </c>
      <c r="K126" s="696" t="str">
        <f t="shared" ca="1" si="10"/>
        <v/>
      </c>
      <c r="L126" s="697" t="str">
        <f t="shared" ca="1" si="10"/>
        <v/>
      </c>
      <c r="M126" s="696" t="str">
        <f t="shared" ca="1" si="10"/>
        <v/>
      </c>
      <c r="N126" s="697" t="str">
        <f t="shared" ca="1" si="10"/>
        <v/>
      </c>
      <c r="O126" s="696" t="str">
        <f t="shared" ca="1" si="16"/>
        <v/>
      </c>
      <c r="P126" s="697" t="str">
        <f t="shared" ca="1" si="16"/>
        <v/>
      </c>
      <c r="Q126" s="696" t="str">
        <f t="shared" ca="1" si="16"/>
        <v/>
      </c>
      <c r="R126" s="697" t="str">
        <f t="shared" ca="1" si="16"/>
        <v/>
      </c>
      <c r="S126" s="696" t="str">
        <f t="shared" ca="1" si="11"/>
        <v/>
      </c>
    </row>
    <row r="127" spans="1:19" s="689" customFormat="1" x14ac:dyDescent="0.25">
      <c r="A127" s="681" t="str">
        <f t="shared" si="27"/>
        <v>C</v>
      </c>
      <c r="B127" s="682">
        <f t="shared" si="28"/>
        <v>40</v>
      </c>
      <c r="C127" s="683" t="str">
        <f t="shared" ca="1" si="9"/>
        <v>ZZZ_land_G4</v>
      </c>
      <c r="D127" s="684" t="str">
        <f ca="1">IF(C127="","",Voorblad!$X$94)</f>
        <v>G4</v>
      </c>
      <c r="E127" s="696">
        <f t="shared" si="14"/>
        <v>56</v>
      </c>
      <c r="F127" s="697" t="str">
        <f t="shared" ca="1" si="15"/>
        <v>G4</v>
      </c>
      <c r="G127" s="696" t="str">
        <f t="shared" ca="1" si="10"/>
        <v/>
      </c>
      <c r="H127" s="697" t="str">
        <f t="shared" ca="1" si="10"/>
        <v/>
      </c>
      <c r="I127" s="696" t="str">
        <f t="shared" ca="1" si="10"/>
        <v/>
      </c>
      <c r="J127" s="697" t="str">
        <f t="shared" ca="1" si="10"/>
        <v/>
      </c>
      <c r="K127" s="696" t="str">
        <f t="shared" ca="1" si="10"/>
        <v/>
      </c>
      <c r="L127" s="697" t="str">
        <f t="shared" ca="1" si="10"/>
        <v/>
      </c>
      <c r="M127" s="696" t="str">
        <f t="shared" ca="1" si="10"/>
        <v/>
      </c>
      <c r="N127" s="697" t="str">
        <f t="shared" ca="1" si="10"/>
        <v/>
      </c>
      <c r="O127" s="696" t="str">
        <f t="shared" ca="1" si="16"/>
        <v/>
      </c>
      <c r="P127" s="697" t="str">
        <f t="shared" ca="1" si="16"/>
        <v/>
      </c>
      <c r="Q127" s="696" t="str">
        <f t="shared" ca="1" si="16"/>
        <v/>
      </c>
      <c r="R127" s="697" t="str">
        <f t="shared" ca="1" si="16"/>
        <v/>
      </c>
      <c r="S127" s="696" t="str">
        <f t="shared" ca="1" si="11"/>
        <v/>
      </c>
    </row>
    <row r="128" spans="1:19" s="689" customFormat="1" x14ac:dyDescent="0.25">
      <c r="A128" s="681" t="str">
        <f t="shared" si="27"/>
        <v>C</v>
      </c>
      <c r="B128" s="682">
        <f>B127+2</f>
        <v>42</v>
      </c>
      <c r="C128" s="683" t="str">
        <f t="shared" ca="1" si="9"/>
        <v>ZZZ_land_H1</v>
      </c>
      <c r="D128" s="684" t="str">
        <f ca="1">IF(C128="","",Voorblad!$X$95)</f>
        <v>H1</v>
      </c>
      <c r="E128" s="696">
        <f t="shared" si="14"/>
        <v>58</v>
      </c>
      <c r="F128" s="697" t="str">
        <f t="shared" ca="1" si="15"/>
        <v>H1</v>
      </c>
      <c r="G128" s="696" t="str">
        <f t="shared" ca="1" si="10"/>
        <v/>
      </c>
      <c r="H128" s="697" t="str">
        <f t="shared" ca="1" si="10"/>
        <v/>
      </c>
      <c r="I128" s="696" t="str">
        <f t="shared" ca="1" si="10"/>
        <v/>
      </c>
      <c r="J128" s="697" t="str">
        <f t="shared" ca="1" si="10"/>
        <v/>
      </c>
      <c r="K128" s="696" t="str">
        <f t="shared" ca="1" si="10"/>
        <v/>
      </c>
      <c r="L128" s="697" t="str">
        <f t="shared" ca="1" si="10"/>
        <v/>
      </c>
      <c r="M128" s="696" t="str">
        <f t="shared" ca="1" si="10"/>
        <v/>
      </c>
      <c r="N128" s="697" t="str">
        <f t="shared" ca="1" si="10"/>
        <v/>
      </c>
      <c r="O128" s="696" t="str">
        <f t="shared" ca="1" si="16"/>
        <v/>
      </c>
      <c r="P128" s="697" t="str">
        <f t="shared" ca="1" si="16"/>
        <v/>
      </c>
      <c r="Q128" s="696" t="str">
        <f t="shared" ca="1" si="16"/>
        <v/>
      </c>
      <c r="R128" s="697" t="str">
        <f t="shared" ca="1" si="16"/>
        <v/>
      </c>
      <c r="S128" s="696" t="str">
        <f t="shared" ca="1" si="11"/>
        <v/>
      </c>
    </row>
    <row r="129" spans="1:19" s="689" customFormat="1" x14ac:dyDescent="0.25">
      <c r="A129" s="681" t="str">
        <f>A128</f>
        <v>C</v>
      </c>
      <c r="B129" s="682">
        <f>B128+1</f>
        <v>43</v>
      </c>
      <c r="C129" s="683" t="str">
        <f t="shared" ca="1" si="9"/>
        <v>ZZZ_land_H2</v>
      </c>
      <c r="D129" s="684" t="str">
        <f ca="1">IF(C129="","",Voorblad!$X$96)</f>
        <v>H2</v>
      </c>
      <c r="E129" s="696">
        <f t="shared" si="14"/>
        <v>60</v>
      </c>
      <c r="F129" s="697" t="str">
        <f t="shared" ca="1" si="15"/>
        <v>H2</v>
      </c>
      <c r="G129" s="696" t="str">
        <f t="shared" ca="1" si="10"/>
        <v/>
      </c>
      <c r="H129" s="697" t="str">
        <f t="shared" ca="1" si="10"/>
        <v/>
      </c>
      <c r="I129" s="696" t="str">
        <f t="shared" ca="1" si="10"/>
        <v/>
      </c>
      <c r="J129" s="697" t="str">
        <f t="shared" ca="1" si="10"/>
        <v/>
      </c>
      <c r="K129" s="696" t="str">
        <f t="shared" ca="1" si="10"/>
        <v/>
      </c>
      <c r="L129" s="697" t="str">
        <f t="shared" ca="1" si="10"/>
        <v/>
      </c>
      <c r="M129" s="696" t="str">
        <f t="shared" ca="1" si="10"/>
        <v/>
      </c>
      <c r="N129" s="697" t="str">
        <f t="shared" ca="1" si="10"/>
        <v/>
      </c>
      <c r="O129" s="696" t="str">
        <f t="shared" ca="1" si="16"/>
        <v/>
      </c>
      <c r="P129" s="697" t="str">
        <f t="shared" ca="1" si="16"/>
        <v/>
      </c>
      <c r="Q129" s="696" t="str">
        <f t="shared" ca="1" si="16"/>
        <v/>
      </c>
      <c r="R129" s="697" t="str">
        <f t="shared" ca="1" si="16"/>
        <v/>
      </c>
      <c r="S129" s="696" t="str">
        <f t="shared" ca="1" si="11"/>
        <v/>
      </c>
    </row>
    <row r="130" spans="1:19" s="689" customFormat="1" x14ac:dyDescent="0.25">
      <c r="A130" s="681" t="str">
        <f t="shared" ref="A130:A131" si="29">A129</f>
        <v>C</v>
      </c>
      <c r="B130" s="682">
        <f t="shared" ref="B130:B131" si="30">B129+1</f>
        <v>44</v>
      </c>
      <c r="C130" s="683" t="str">
        <f t="shared" ca="1" si="9"/>
        <v>ZZZ_land_H3</v>
      </c>
      <c r="D130" s="684" t="str">
        <f ca="1">IF(C130="","",Voorblad!$X$97)</f>
        <v>H3</v>
      </c>
      <c r="E130" s="696">
        <f t="shared" si="14"/>
        <v>62</v>
      </c>
      <c r="F130" s="697" t="str">
        <f t="shared" ca="1" si="15"/>
        <v>H3</v>
      </c>
      <c r="G130" s="696" t="str">
        <f t="shared" ca="1" si="10"/>
        <v/>
      </c>
      <c r="H130" s="697" t="str">
        <f t="shared" ca="1" si="10"/>
        <v/>
      </c>
      <c r="I130" s="696" t="str">
        <f t="shared" ca="1" si="10"/>
        <v/>
      </c>
      <c r="J130" s="697" t="str">
        <f t="shared" ca="1" si="10"/>
        <v/>
      </c>
      <c r="K130" s="696" t="str">
        <f t="shared" ca="1" si="10"/>
        <v/>
      </c>
      <c r="L130" s="697" t="str">
        <f t="shared" ca="1" si="10"/>
        <v/>
      </c>
      <c r="M130" s="696" t="str">
        <f t="shared" ca="1" si="10"/>
        <v/>
      </c>
      <c r="N130" s="697" t="str">
        <f t="shared" ca="1" si="10"/>
        <v/>
      </c>
      <c r="O130" s="696" t="str">
        <f t="shared" ca="1" si="16"/>
        <v/>
      </c>
      <c r="P130" s="697" t="str">
        <f t="shared" ca="1" si="16"/>
        <v/>
      </c>
      <c r="Q130" s="696" t="str">
        <f t="shared" ca="1" si="16"/>
        <v/>
      </c>
      <c r="R130" s="697" t="str">
        <f t="shared" ca="1" si="16"/>
        <v/>
      </c>
      <c r="S130" s="696" t="str">
        <f t="shared" ca="1" si="11"/>
        <v/>
      </c>
    </row>
    <row r="131" spans="1:19" s="689" customFormat="1" x14ac:dyDescent="0.25">
      <c r="A131" s="685" t="str">
        <f t="shared" si="29"/>
        <v>C</v>
      </c>
      <c r="B131" s="686">
        <f t="shared" si="30"/>
        <v>45</v>
      </c>
      <c r="C131" s="687" t="str">
        <f t="shared" ca="1" si="9"/>
        <v>ZZZ_land_H4</v>
      </c>
      <c r="D131" s="688" t="str">
        <f ca="1">IF(C131="","",Voorblad!X$98)</f>
        <v>H4</v>
      </c>
      <c r="E131" s="698">
        <f t="shared" si="14"/>
        <v>64</v>
      </c>
      <c r="F131" s="699" t="str">
        <f t="shared" ca="1" si="15"/>
        <v>H4</v>
      </c>
      <c r="G131" s="698" t="str">
        <f t="shared" ca="1" si="10"/>
        <v/>
      </c>
      <c r="H131" s="699" t="str">
        <f t="shared" ca="1" si="10"/>
        <v/>
      </c>
      <c r="I131" s="698" t="str">
        <f t="shared" ca="1" si="10"/>
        <v/>
      </c>
      <c r="J131" s="699" t="str">
        <f t="shared" ca="1" si="10"/>
        <v/>
      </c>
      <c r="K131" s="698" t="str">
        <f t="shared" ca="1" si="10"/>
        <v/>
      </c>
      <c r="L131" s="699" t="str">
        <f t="shared" ca="1" si="10"/>
        <v/>
      </c>
      <c r="M131" s="698" t="str">
        <f t="shared" ca="1" si="10"/>
        <v/>
      </c>
      <c r="N131" s="699" t="str">
        <f t="shared" ca="1" si="10"/>
        <v/>
      </c>
      <c r="O131" s="698" t="str">
        <f t="shared" ca="1" si="16"/>
        <v/>
      </c>
      <c r="P131" s="699" t="str">
        <f t="shared" ca="1" si="16"/>
        <v/>
      </c>
      <c r="Q131" s="698" t="str">
        <f t="shared" ca="1" si="16"/>
        <v/>
      </c>
      <c r="R131" s="699" t="str">
        <f t="shared" ca="1" si="16"/>
        <v/>
      </c>
      <c r="S131" s="698" t="str">
        <f t="shared" ca="1" si="11"/>
        <v/>
      </c>
    </row>
    <row r="132" spans="1:19" s="689" customFormat="1" x14ac:dyDescent="0.25">
      <c r="A132" s="665" t="str">
        <f>CHAR(CODE(A100)+1)</f>
        <v>D</v>
      </c>
      <c r="B132" s="666">
        <v>7</v>
      </c>
      <c r="C132" s="667" t="str">
        <f t="shared" ca="1" si="9"/>
        <v>Germany</v>
      </c>
      <c r="D132" s="668" t="str">
        <f ca="1">IF(C132="","",Voorblad!$X$67)</f>
        <v>A1</v>
      </c>
    </row>
    <row r="133" spans="1:19" s="689" customFormat="1" x14ac:dyDescent="0.25">
      <c r="A133" s="669" t="str">
        <f>A132</f>
        <v>D</v>
      </c>
      <c r="B133" s="670">
        <f>B132+1</f>
        <v>8</v>
      </c>
      <c r="C133" s="671" t="str">
        <f t="shared" ca="1" si="9"/>
        <v>Scotland</v>
      </c>
      <c r="D133" s="672" t="str">
        <f ca="1">IF(C133="","",Voorblad!$X$68)</f>
        <v>A2</v>
      </c>
    </row>
    <row r="134" spans="1:19" s="689" customFormat="1" x14ac:dyDescent="0.25">
      <c r="A134" s="669" t="str">
        <f t="shared" ref="A134:A136" si="31">A133</f>
        <v>D</v>
      </c>
      <c r="B134" s="670">
        <f t="shared" ref="B134:B135" si="32">B133+1</f>
        <v>9</v>
      </c>
      <c r="C134" s="671" t="str">
        <f t="shared" ca="1" si="9"/>
        <v>Hungary</v>
      </c>
      <c r="D134" s="672" t="str">
        <f ca="1">IF(C134="","",Voorblad!$X$69)</f>
        <v>A3</v>
      </c>
    </row>
    <row r="135" spans="1:19" s="689" customFormat="1" x14ac:dyDescent="0.25">
      <c r="A135" s="669" t="str">
        <f t="shared" si="31"/>
        <v>D</v>
      </c>
      <c r="B135" s="670">
        <f t="shared" si="32"/>
        <v>10</v>
      </c>
      <c r="C135" s="671" t="str">
        <f t="shared" ca="1" si="9"/>
        <v>Switzerland</v>
      </c>
      <c r="D135" s="672" t="str">
        <f ca="1">IF(C135="","",Voorblad!$X$70)</f>
        <v>A4</v>
      </c>
    </row>
    <row r="136" spans="1:19" s="689" customFormat="1" x14ac:dyDescent="0.25">
      <c r="A136" s="669" t="str">
        <f t="shared" si="31"/>
        <v>D</v>
      </c>
      <c r="B136" s="670">
        <f>B135+2</f>
        <v>12</v>
      </c>
      <c r="C136" s="671" t="str">
        <f t="shared" ca="1" si="9"/>
        <v>Spain</v>
      </c>
      <c r="D136" s="672" t="str">
        <f ca="1">IF(C136="","",Voorblad!$X$71)</f>
        <v>B1</v>
      </c>
    </row>
    <row r="137" spans="1:19" s="689" customFormat="1" x14ac:dyDescent="0.25">
      <c r="A137" s="669" t="str">
        <f>A136</f>
        <v>D</v>
      </c>
      <c r="B137" s="670">
        <f>B136+1</f>
        <v>13</v>
      </c>
      <c r="C137" s="671" t="str">
        <f t="shared" ca="1" si="9"/>
        <v>Croatia</v>
      </c>
      <c r="D137" s="672" t="str">
        <f ca="1">IF(C137="","",Voorblad!$X$72)</f>
        <v>B2</v>
      </c>
    </row>
    <row r="138" spans="1:19" s="689" customFormat="1" x14ac:dyDescent="0.25">
      <c r="A138" s="669" t="str">
        <f t="shared" ref="A138:A140" si="33">A137</f>
        <v>D</v>
      </c>
      <c r="B138" s="670">
        <f t="shared" ref="B138:B139" si="34">B137+1</f>
        <v>14</v>
      </c>
      <c r="C138" s="671" t="str">
        <f t="shared" ca="1" si="9"/>
        <v>Italy</v>
      </c>
      <c r="D138" s="672" t="str">
        <f ca="1">IF(C138="","",Voorblad!$X$73)</f>
        <v>B3</v>
      </c>
    </row>
    <row r="139" spans="1:19" s="689" customFormat="1" x14ac:dyDescent="0.25">
      <c r="A139" s="669" t="str">
        <f t="shared" si="33"/>
        <v>D</v>
      </c>
      <c r="B139" s="670">
        <f t="shared" si="34"/>
        <v>15</v>
      </c>
      <c r="C139" s="671" t="str">
        <f t="shared" ca="1" si="9"/>
        <v>Albania</v>
      </c>
      <c r="D139" s="672" t="str">
        <f ca="1">IF(C139="","",Voorblad!$X$74)</f>
        <v>B4</v>
      </c>
    </row>
    <row r="140" spans="1:19" s="689" customFormat="1" x14ac:dyDescent="0.25">
      <c r="A140" s="669" t="str">
        <f t="shared" si="33"/>
        <v>D</v>
      </c>
      <c r="B140" s="670">
        <f>B139+2</f>
        <v>17</v>
      </c>
      <c r="C140" s="671" t="str">
        <f t="shared" ca="1" si="9"/>
        <v>Slovenia</v>
      </c>
      <c r="D140" s="672" t="str">
        <f ca="1">IF(C140="","",Voorblad!$X$75)</f>
        <v>C1</v>
      </c>
    </row>
    <row r="141" spans="1:19" s="689" customFormat="1" x14ac:dyDescent="0.25">
      <c r="A141" s="669" t="str">
        <f>A140</f>
        <v>D</v>
      </c>
      <c r="B141" s="670">
        <f>B140+1</f>
        <v>18</v>
      </c>
      <c r="C141" s="671" t="str">
        <f t="shared" ca="1" si="9"/>
        <v>Denmark</v>
      </c>
      <c r="D141" s="672" t="str">
        <f ca="1">IF(C141="","",Voorblad!$X$76)</f>
        <v>C2</v>
      </c>
    </row>
    <row r="142" spans="1:19" s="689" customFormat="1" x14ac:dyDescent="0.25">
      <c r="A142" s="669" t="str">
        <f t="shared" ref="A142:A144" si="35">A141</f>
        <v>D</v>
      </c>
      <c r="B142" s="670">
        <f t="shared" ref="B142:B143" si="36">B141+1</f>
        <v>19</v>
      </c>
      <c r="C142" s="671" t="str">
        <f t="shared" ca="1" si="9"/>
        <v>Serbia</v>
      </c>
      <c r="D142" s="672" t="str">
        <f ca="1">IF(C142="","",Voorblad!$X$77)</f>
        <v>C3</v>
      </c>
    </row>
    <row r="143" spans="1:19" s="689" customFormat="1" x14ac:dyDescent="0.25">
      <c r="A143" s="669" t="str">
        <f t="shared" si="35"/>
        <v>D</v>
      </c>
      <c r="B143" s="670">
        <f t="shared" si="36"/>
        <v>20</v>
      </c>
      <c r="C143" s="671" t="str">
        <f t="shared" ca="1" si="9"/>
        <v>England</v>
      </c>
      <c r="D143" s="672" t="str">
        <f ca="1">IF(C143="","",Voorblad!$X$78)</f>
        <v>C4</v>
      </c>
    </row>
    <row r="144" spans="1:19" s="689" customFormat="1" x14ac:dyDescent="0.25">
      <c r="A144" s="669" t="str">
        <f t="shared" si="35"/>
        <v>D</v>
      </c>
      <c r="B144" s="670">
        <f>B143+2</f>
        <v>22</v>
      </c>
      <c r="C144" s="671" t="str">
        <f t="shared" ca="1" si="9"/>
        <v>Poland</v>
      </c>
      <c r="D144" s="672" t="str">
        <f ca="1">IF(C144="","",Voorblad!$X$79)</f>
        <v>D1</v>
      </c>
    </row>
    <row r="145" spans="1:4" s="689" customFormat="1" x14ac:dyDescent="0.25">
      <c r="A145" s="669" t="str">
        <f>A144</f>
        <v>D</v>
      </c>
      <c r="B145" s="670">
        <f>B144+1</f>
        <v>23</v>
      </c>
      <c r="C145" s="671" t="str">
        <f t="shared" ca="1" si="9"/>
        <v>Netherlands</v>
      </c>
      <c r="D145" s="672" t="str">
        <f ca="1">IF(C145="","",Voorblad!$X$80)</f>
        <v>D2</v>
      </c>
    </row>
    <row r="146" spans="1:4" s="689" customFormat="1" x14ac:dyDescent="0.25">
      <c r="A146" s="669" t="str">
        <f t="shared" ref="A146:A148" si="37">A145</f>
        <v>D</v>
      </c>
      <c r="B146" s="670">
        <f t="shared" ref="B146:B147" si="38">B145+1</f>
        <v>24</v>
      </c>
      <c r="C146" s="671" t="str">
        <f t="shared" ca="1" si="9"/>
        <v>Austria</v>
      </c>
      <c r="D146" s="672" t="str">
        <f ca="1">IF(C146="","",Voorblad!$X$81)</f>
        <v>D3</v>
      </c>
    </row>
    <row r="147" spans="1:4" s="689" customFormat="1" x14ac:dyDescent="0.25">
      <c r="A147" s="669" t="str">
        <f t="shared" si="37"/>
        <v>D</v>
      </c>
      <c r="B147" s="670">
        <f t="shared" si="38"/>
        <v>25</v>
      </c>
      <c r="C147" s="671" t="str">
        <f t="shared" ca="1" si="9"/>
        <v>France</v>
      </c>
      <c r="D147" s="672" t="str">
        <f ca="1">IF(C147="","",Voorblad!$X$82)</f>
        <v>D4</v>
      </c>
    </row>
    <row r="148" spans="1:4" s="689" customFormat="1" x14ac:dyDescent="0.25">
      <c r="A148" s="669" t="str">
        <f t="shared" si="37"/>
        <v>D</v>
      </c>
      <c r="B148" s="670">
        <f>B147+2</f>
        <v>27</v>
      </c>
      <c r="C148" s="671" t="str">
        <f t="shared" ca="1" si="9"/>
        <v>Belgium</v>
      </c>
      <c r="D148" s="672" t="str">
        <f ca="1">IF(C148="","",Voorblad!$X$83)</f>
        <v>E1</v>
      </c>
    </row>
    <row r="149" spans="1:4" s="689" customFormat="1" x14ac:dyDescent="0.25">
      <c r="A149" s="669" t="str">
        <f>A148</f>
        <v>D</v>
      </c>
      <c r="B149" s="670">
        <f>B148+1</f>
        <v>28</v>
      </c>
      <c r="C149" s="671" t="str">
        <f t="shared" ca="1" si="9"/>
        <v>Slovakia</v>
      </c>
      <c r="D149" s="672" t="str">
        <f ca="1">IF(C149="","",Voorblad!$X$84)</f>
        <v>E2</v>
      </c>
    </row>
    <row r="150" spans="1:4" s="689" customFormat="1" x14ac:dyDescent="0.25">
      <c r="A150" s="669" t="str">
        <f t="shared" ref="A150:A152" si="39">A149</f>
        <v>D</v>
      </c>
      <c r="B150" s="670">
        <f t="shared" ref="B150:B151" si="40">B149+1</f>
        <v>29</v>
      </c>
      <c r="C150" s="671" t="str">
        <f t="shared" ca="1" si="9"/>
        <v>Romania</v>
      </c>
      <c r="D150" s="672" t="str">
        <f ca="1">IF(C150="","",Voorblad!$X$85)</f>
        <v>E3</v>
      </c>
    </row>
    <row r="151" spans="1:4" s="689" customFormat="1" x14ac:dyDescent="0.25">
      <c r="A151" s="669" t="str">
        <f t="shared" si="39"/>
        <v>D</v>
      </c>
      <c r="B151" s="670">
        <f t="shared" si="40"/>
        <v>30</v>
      </c>
      <c r="C151" s="671" t="str">
        <f t="shared" ca="1" si="9"/>
        <v>Ukraine</v>
      </c>
      <c r="D151" s="672" t="str">
        <f ca="1">IF(C151="","",Voorblad!$X$86)</f>
        <v>E4</v>
      </c>
    </row>
    <row r="152" spans="1:4" s="689" customFormat="1" x14ac:dyDescent="0.25">
      <c r="A152" s="669" t="str">
        <f t="shared" si="39"/>
        <v>D</v>
      </c>
      <c r="B152" s="670">
        <f>B151+2</f>
        <v>32</v>
      </c>
      <c r="C152" s="671" t="str">
        <f t="shared" ca="1" si="9"/>
        <v>Turkey</v>
      </c>
      <c r="D152" s="672" t="str">
        <f ca="1">IF(C152="","",Voorblad!$X$87)</f>
        <v>F1</v>
      </c>
    </row>
    <row r="153" spans="1:4" s="689" customFormat="1" x14ac:dyDescent="0.25">
      <c r="A153" s="669" t="str">
        <f>A152</f>
        <v>D</v>
      </c>
      <c r="B153" s="670">
        <f>B152+1</f>
        <v>33</v>
      </c>
      <c r="C153" s="671" t="str">
        <f t="shared" ca="1" si="9"/>
        <v>Georgia</v>
      </c>
      <c r="D153" s="672" t="str">
        <f ca="1">IF(C153="","",Voorblad!$X$88)</f>
        <v>F2</v>
      </c>
    </row>
    <row r="154" spans="1:4" s="689" customFormat="1" x14ac:dyDescent="0.25">
      <c r="A154" s="669" t="str">
        <f t="shared" ref="A154:A156" si="41">A153</f>
        <v>D</v>
      </c>
      <c r="B154" s="670">
        <f t="shared" ref="B154:B155" si="42">B153+1</f>
        <v>34</v>
      </c>
      <c r="C154" s="671" t="str">
        <f t="shared" ca="1" si="9"/>
        <v>Portugal</v>
      </c>
      <c r="D154" s="672" t="str">
        <f ca="1">IF(C154="","",Voorblad!$X$89)</f>
        <v>F3</v>
      </c>
    </row>
    <row r="155" spans="1:4" s="689" customFormat="1" x14ac:dyDescent="0.25">
      <c r="A155" s="669" t="str">
        <f t="shared" si="41"/>
        <v>D</v>
      </c>
      <c r="B155" s="670">
        <f t="shared" si="42"/>
        <v>35</v>
      </c>
      <c r="C155" s="671" t="str">
        <f t="shared" ca="1" si="9"/>
        <v>Czech Republic</v>
      </c>
      <c r="D155" s="672" t="str">
        <f ca="1">IF(C155="","",Voorblad!$X$90)</f>
        <v>F4</v>
      </c>
    </row>
    <row r="156" spans="1:4" s="689" customFormat="1" x14ac:dyDescent="0.25">
      <c r="A156" s="669" t="str">
        <f t="shared" si="41"/>
        <v>D</v>
      </c>
      <c r="B156" s="670">
        <f>B155+2</f>
        <v>37</v>
      </c>
      <c r="C156" s="671" t="str">
        <f t="shared" ca="1" si="9"/>
        <v>ZZZ_land_G1</v>
      </c>
      <c r="D156" s="672" t="str">
        <f ca="1">IF(C156="","",Voorblad!$X$91)</f>
        <v>G1</v>
      </c>
    </row>
    <row r="157" spans="1:4" s="689" customFormat="1" x14ac:dyDescent="0.25">
      <c r="A157" s="669" t="str">
        <f>A156</f>
        <v>D</v>
      </c>
      <c r="B157" s="670">
        <f>B156+1</f>
        <v>38</v>
      </c>
      <c r="C157" s="671" t="str">
        <f t="shared" ca="1" si="9"/>
        <v>ZZZ_land_G2</v>
      </c>
      <c r="D157" s="672" t="str">
        <f ca="1">IF(C157="","",Voorblad!$X$92)</f>
        <v>G2</v>
      </c>
    </row>
    <row r="158" spans="1:4" s="689" customFormat="1" x14ac:dyDescent="0.25">
      <c r="A158" s="669" t="str">
        <f t="shared" ref="A158:A160" si="43">A157</f>
        <v>D</v>
      </c>
      <c r="B158" s="670">
        <f t="shared" ref="B158:B159" si="44">B157+1</f>
        <v>39</v>
      </c>
      <c r="C158" s="671" t="str">
        <f t="shared" ca="1" si="9"/>
        <v>ZZZ_land_G3</v>
      </c>
      <c r="D158" s="672" t="str">
        <f ca="1">IF(C158="","",Voorblad!$X$93)</f>
        <v>G3</v>
      </c>
    </row>
    <row r="159" spans="1:4" s="689" customFormat="1" x14ac:dyDescent="0.25">
      <c r="A159" s="669" t="str">
        <f t="shared" si="43"/>
        <v>D</v>
      </c>
      <c r="B159" s="670">
        <f t="shared" si="44"/>
        <v>40</v>
      </c>
      <c r="C159" s="671" t="str">
        <f t="shared" ca="1" si="9"/>
        <v>ZZZ_land_G4</v>
      </c>
      <c r="D159" s="672" t="str">
        <f ca="1">IF(C159="","",Voorblad!$X$94)</f>
        <v>G4</v>
      </c>
    </row>
    <row r="160" spans="1:4" s="689" customFormat="1" x14ac:dyDescent="0.25">
      <c r="A160" s="669" t="str">
        <f t="shared" si="43"/>
        <v>D</v>
      </c>
      <c r="B160" s="670">
        <f>B159+2</f>
        <v>42</v>
      </c>
      <c r="C160" s="671" t="str">
        <f t="shared" ca="1" si="9"/>
        <v>ZZZ_land_H1</v>
      </c>
      <c r="D160" s="672" t="str">
        <f ca="1">IF(C160="","",Voorblad!$X$95)</f>
        <v>H1</v>
      </c>
    </row>
    <row r="161" spans="1:4" s="689" customFormat="1" x14ac:dyDescent="0.25">
      <c r="A161" s="669" t="str">
        <f>A160</f>
        <v>D</v>
      </c>
      <c r="B161" s="670">
        <f>B160+1</f>
        <v>43</v>
      </c>
      <c r="C161" s="671" t="str">
        <f t="shared" ca="1" si="9"/>
        <v>ZZZ_land_H2</v>
      </c>
      <c r="D161" s="672" t="str">
        <f ca="1">IF(C161="","",Voorblad!$X$96)</f>
        <v>H2</v>
      </c>
    </row>
    <row r="162" spans="1:4" s="689" customFormat="1" x14ac:dyDescent="0.25">
      <c r="A162" s="669" t="str">
        <f t="shared" ref="A162:A163" si="45">A161</f>
        <v>D</v>
      </c>
      <c r="B162" s="670">
        <f t="shared" ref="B162:B163" si="46">B161+1</f>
        <v>44</v>
      </c>
      <c r="C162" s="671" t="str">
        <f t="shared" ca="1" si="9"/>
        <v>ZZZ_land_H3</v>
      </c>
      <c r="D162" s="672" t="str">
        <f ca="1">IF(C162="","",Voorblad!$X$97)</f>
        <v>H3</v>
      </c>
    </row>
    <row r="163" spans="1:4" s="689" customFormat="1" x14ac:dyDescent="0.25">
      <c r="A163" s="673" t="str">
        <f t="shared" si="45"/>
        <v>D</v>
      </c>
      <c r="B163" s="674">
        <f t="shared" si="46"/>
        <v>45</v>
      </c>
      <c r="C163" s="675" t="str">
        <f t="shared" ca="1" si="9"/>
        <v>ZZZ_land_H4</v>
      </c>
      <c r="D163" s="676" t="str">
        <f ca="1">IF(C163="","",Voorblad!X$98)</f>
        <v>H4</v>
      </c>
    </row>
    <row r="164" spans="1:4" s="689" customFormat="1" x14ac:dyDescent="0.25">
      <c r="A164" s="677" t="str">
        <f>CHAR(CODE(A132)+1)</f>
        <v>E</v>
      </c>
      <c r="B164" s="678">
        <v>7</v>
      </c>
      <c r="C164" s="679" t="str">
        <f t="shared" ca="1" si="9"/>
        <v>Deutschland</v>
      </c>
      <c r="D164" s="680" t="str">
        <f ca="1">IF(C164="","",Voorblad!$X$67)</f>
        <v>A1</v>
      </c>
    </row>
    <row r="165" spans="1:4" s="689" customFormat="1" x14ac:dyDescent="0.25">
      <c r="A165" s="681" t="str">
        <f>A164</f>
        <v>E</v>
      </c>
      <c r="B165" s="682">
        <f>B164+1</f>
        <v>8</v>
      </c>
      <c r="C165" s="683" t="str">
        <f t="shared" ref="C165:C228" ca="1" si="47">IF(ISBLANK(INDIRECT(A165&amp;B165)),"",INDIRECT(A165&amp;B165))</f>
        <v>Schotland</v>
      </c>
      <c r="D165" s="684" t="str">
        <f ca="1">IF(C165="","",Voorblad!$X$68)</f>
        <v>A2</v>
      </c>
    </row>
    <row r="166" spans="1:4" s="689" customFormat="1" x14ac:dyDescent="0.25">
      <c r="A166" s="681" t="str">
        <f t="shared" ref="A166:A168" si="48">A165</f>
        <v>E</v>
      </c>
      <c r="B166" s="682">
        <f t="shared" ref="B166:B167" si="49">B165+1</f>
        <v>9</v>
      </c>
      <c r="C166" s="683" t="str">
        <f t="shared" ca="1" si="47"/>
        <v>Ungarn</v>
      </c>
      <c r="D166" s="684" t="str">
        <f ca="1">IF(C166="","",Voorblad!$X$69)</f>
        <v>A3</v>
      </c>
    </row>
    <row r="167" spans="1:4" s="689" customFormat="1" x14ac:dyDescent="0.25">
      <c r="A167" s="681" t="str">
        <f t="shared" si="48"/>
        <v>E</v>
      </c>
      <c r="B167" s="682">
        <f t="shared" si="49"/>
        <v>10</v>
      </c>
      <c r="C167" s="683" t="str">
        <f t="shared" ca="1" si="47"/>
        <v>Schweiz</v>
      </c>
      <c r="D167" s="684" t="str">
        <f ca="1">IF(C167="","",Voorblad!$X$70)</f>
        <v>A4</v>
      </c>
    </row>
    <row r="168" spans="1:4" s="689" customFormat="1" x14ac:dyDescent="0.25">
      <c r="A168" s="681" t="str">
        <f t="shared" si="48"/>
        <v>E</v>
      </c>
      <c r="B168" s="682">
        <f>B167+2</f>
        <v>12</v>
      </c>
      <c r="C168" s="683" t="str">
        <f t="shared" ca="1" si="47"/>
        <v>Spanien</v>
      </c>
      <c r="D168" s="684" t="str">
        <f ca="1">IF(C168="","",Voorblad!$X$71)</f>
        <v>B1</v>
      </c>
    </row>
    <row r="169" spans="1:4" s="689" customFormat="1" x14ac:dyDescent="0.25">
      <c r="A169" s="681" t="str">
        <f>A168</f>
        <v>E</v>
      </c>
      <c r="B169" s="682">
        <f>B168+1</f>
        <v>13</v>
      </c>
      <c r="C169" s="683" t="str">
        <f t="shared" ca="1" si="47"/>
        <v>Kroatien</v>
      </c>
      <c r="D169" s="684" t="str">
        <f ca="1">IF(C169="","",Voorblad!$X$72)</f>
        <v>B2</v>
      </c>
    </row>
    <row r="170" spans="1:4" s="689" customFormat="1" x14ac:dyDescent="0.25">
      <c r="A170" s="681" t="str">
        <f t="shared" ref="A170:A172" si="50">A169</f>
        <v>E</v>
      </c>
      <c r="B170" s="682">
        <f t="shared" ref="B170:B171" si="51">B169+1</f>
        <v>14</v>
      </c>
      <c r="C170" s="683" t="str">
        <f t="shared" ca="1" si="47"/>
        <v>Italien</v>
      </c>
      <c r="D170" s="684" t="str">
        <f ca="1">IF(C170="","",Voorblad!$X$73)</f>
        <v>B3</v>
      </c>
    </row>
    <row r="171" spans="1:4" s="689" customFormat="1" x14ac:dyDescent="0.25">
      <c r="A171" s="681" t="str">
        <f t="shared" si="50"/>
        <v>E</v>
      </c>
      <c r="B171" s="682">
        <f t="shared" si="51"/>
        <v>15</v>
      </c>
      <c r="C171" s="683" t="str">
        <f t="shared" ca="1" si="47"/>
        <v>Albanien</v>
      </c>
      <c r="D171" s="684" t="str">
        <f ca="1">IF(C171="","",Voorblad!$X$74)</f>
        <v>B4</v>
      </c>
    </row>
    <row r="172" spans="1:4" s="689" customFormat="1" x14ac:dyDescent="0.25">
      <c r="A172" s="681" t="str">
        <f t="shared" si="50"/>
        <v>E</v>
      </c>
      <c r="B172" s="682">
        <f>B171+2</f>
        <v>17</v>
      </c>
      <c r="C172" s="683" t="str">
        <f t="shared" ca="1" si="47"/>
        <v>Slowenien</v>
      </c>
      <c r="D172" s="684" t="str">
        <f ca="1">IF(C172="","",Voorblad!$X$75)</f>
        <v>C1</v>
      </c>
    </row>
    <row r="173" spans="1:4" s="689" customFormat="1" x14ac:dyDescent="0.25">
      <c r="A173" s="681" t="str">
        <f>A172</f>
        <v>E</v>
      </c>
      <c r="B173" s="682">
        <f>B172+1</f>
        <v>18</v>
      </c>
      <c r="C173" s="683" t="str">
        <f t="shared" ca="1" si="47"/>
        <v>Dänemark</v>
      </c>
      <c r="D173" s="684" t="str">
        <f ca="1">IF(C173="","",Voorblad!$X$76)</f>
        <v>C2</v>
      </c>
    </row>
    <row r="174" spans="1:4" s="689" customFormat="1" x14ac:dyDescent="0.25">
      <c r="A174" s="681" t="str">
        <f t="shared" ref="A174:A176" si="52">A173</f>
        <v>E</v>
      </c>
      <c r="B174" s="682">
        <f t="shared" ref="B174:B175" si="53">B173+1</f>
        <v>19</v>
      </c>
      <c r="C174" s="683" t="str">
        <f t="shared" ca="1" si="47"/>
        <v>Serbien</v>
      </c>
      <c r="D174" s="684" t="str">
        <f ca="1">IF(C174="","",Voorblad!$X$77)</f>
        <v>C3</v>
      </c>
    </row>
    <row r="175" spans="1:4" s="689" customFormat="1" x14ac:dyDescent="0.25">
      <c r="A175" s="681" t="str">
        <f t="shared" si="52"/>
        <v>E</v>
      </c>
      <c r="B175" s="682">
        <f t="shared" si="53"/>
        <v>20</v>
      </c>
      <c r="C175" s="683" t="str">
        <f t="shared" ca="1" si="47"/>
        <v>England</v>
      </c>
      <c r="D175" s="684" t="str">
        <f ca="1">IF(C175="","",Voorblad!$X$78)</f>
        <v>C4</v>
      </c>
    </row>
    <row r="176" spans="1:4" s="689" customFormat="1" x14ac:dyDescent="0.25">
      <c r="A176" s="681" t="str">
        <f t="shared" si="52"/>
        <v>E</v>
      </c>
      <c r="B176" s="682">
        <f>B175+2</f>
        <v>22</v>
      </c>
      <c r="C176" s="683" t="str">
        <f t="shared" ca="1" si="47"/>
        <v>Polen</v>
      </c>
      <c r="D176" s="684" t="str">
        <f ca="1">IF(C176="","",Voorblad!$X$79)</f>
        <v>D1</v>
      </c>
    </row>
    <row r="177" spans="1:4" s="689" customFormat="1" x14ac:dyDescent="0.25">
      <c r="A177" s="681" t="str">
        <f>A176</f>
        <v>E</v>
      </c>
      <c r="B177" s="682">
        <f>B176+1</f>
        <v>23</v>
      </c>
      <c r="C177" s="683" t="str">
        <f t="shared" ca="1" si="47"/>
        <v>Niederlande</v>
      </c>
      <c r="D177" s="684" t="str">
        <f ca="1">IF(C177="","",Voorblad!$X$80)</f>
        <v>D2</v>
      </c>
    </row>
    <row r="178" spans="1:4" s="689" customFormat="1" x14ac:dyDescent="0.25">
      <c r="A178" s="681" t="str">
        <f t="shared" ref="A178:A180" si="54">A177</f>
        <v>E</v>
      </c>
      <c r="B178" s="682">
        <f t="shared" ref="B178:B179" si="55">B177+1</f>
        <v>24</v>
      </c>
      <c r="C178" s="683" t="str">
        <f t="shared" ca="1" si="47"/>
        <v>Österreich</v>
      </c>
      <c r="D178" s="684" t="str">
        <f ca="1">IF(C178="","",Voorblad!$X$81)</f>
        <v>D3</v>
      </c>
    </row>
    <row r="179" spans="1:4" s="689" customFormat="1" x14ac:dyDescent="0.25">
      <c r="A179" s="681" t="str">
        <f t="shared" si="54"/>
        <v>E</v>
      </c>
      <c r="B179" s="682">
        <f t="shared" si="55"/>
        <v>25</v>
      </c>
      <c r="C179" s="683" t="str">
        <f t="shared" ca="1" si="47"/>
        <v>Frankreich</v>
      </c>
      <c r="D179" s="684" t="str">
        <f ca="1">IF(C179="","",Voorblad!$X$82)</f>
        <v>D4</v>
      </c>
    </row>
    <row r="180" spans="1:4" s="689" customFormat="1" x14ac:dyDescent="0.25">
      <c r="A180" s="681" t="str">
        <f t="shared" si="54"/>
        <v>E</v>
      </c>
      <c r="B180" s="682">
        <f>B179+2</f>
        <v>27</v>
      </c>
      <c r="C180" s="683" t="str">
        <f t="shared" ca="1" si="47"/>
        <v>Belgien</v>
      </c>
      <c r="D180" s="684" t="str">
        <f ca="1">IF(C180="","",Voorblad!$X$83)</f>
        <v>E1</v>
      </c>
    </row>
    <row r="181" spans="1:4" s="689" customFormat="1" x14ac:dyDescent="0.25">
      <c r="A181" s="681" t="str">
        <f>A180</f>
        <v>E</v>
      </c>
      <c r="B181" s="682">
        <f>B180+1</f>
        <v>28</v>
      </c>
      <c r="C181" s="683" t="str">
        <f t="shared" ca="1" si="47"/>
        <v>Slowakei</v>
      </c>
      <c r="D181" s="684" t="str">
        <f ca="1">IF(C181="","",Voorblad!$X$84)</f>
        <v>E2</v>
      </c>
    </row>
    <row r="182" spans="1:4" s="689" customFormat="1" x14ac:dyDescent="0.25">
      <c r="A182" s="681" t="str">
        <f t="shared" ref="A182:A184" si="56">A181</f>
        <v>E</v>
      </c>
      <c r="B182" s="682">
        <f t="shared" ref="B182:B183" si="57">B181+1</f>
        <v>29</v>
      </c>
      <c r="C182" s="683" t="str">
        <f t="shared" ca="1" si="47"/>
        <v>Rumänien</v>
      </c>
      <c r="D182" s="684" t="str">
        <f ca="1">IF(C182="","",Voorblad!$X$85)</f>
        <v>E3</v>
      </c>
    </row>
    <row r="183" spans="1:4" s="689" customFormat="1" x14ac:dyDescent="0.25">
      <c r="A183" s="681" t="str">
        <f t="shared" si="56"/>
        <v>E</v>
      </c>
      <c r="B183" s="682">
        <f t="shared" si="57"/>
        <v>30</v>
      </c>
      <c r="C183" s="683" t="str">
        <f t="shared" ca="1" si="47"/>
        <v>Ukraine</v>
      </c>
      <c r="D183" s="684" t="str">
        <f ca="1">IF(C183="","",Voorblad!$X$86)</f>
        <v>E4</v>
      </c>
    </row>
    <row r="184" spans="1:4" s="689" customFormat="1" x14ac:dyDescent="0.25">
      <c r="A184" s="681" t="str">
        <f t="shared" si="56"/>
        <v>E</v>
      </c>
      <c r="B184" s="682">
        <f>B183+2</f>
        <v>32</v>
      </c>
      <c r="C184" s="683" t="str">
        <f t="shared" ca="1" si="47"/>
        <v>Türkei</v>
      </c>
      <c r="D184" s="684" t="str">
        <f ca="1">IF(C184="","",Voorblad!$X$87)</f>
        <v>F1</v>
      </c>
    </row>
    <row r="185" spans="1:4" s="689" customFormat="1" x14ac:dyDescent="0.25">
      <c r="A185" s="681" t="str">
        <f>A184</f>
        <v>E</v>
      </c>
      <c r="B185" s="682">
        <f>B184+1</f>
        <v>33</v>
      </c>
      <c r="C185" s="683" t="str">
        <f t="shared" ca="1" si="47"/>
        <v>Georgien</v>
      </c>
      <c r="D185" s="684" t="str">
        <f ca="1">IF(C185="","",Voorblad!$X$88)</f>
        <v>F2</v>
      </c>
    </row>
    <row r="186" spans="1:4" s="689" customFormat="1" x14ac:dyDescent="0.25">
      <c r="A186" s="681" t="str">
        <f t="shared" ref="A186:A188" si="58">A185</f>
        <v>E</v>
      </c>
      <c r="B186" s="682">
        <f t="shared" ref="B186:B187" si="59">B185+1</f>
        <v>34</v>
      </c>
      <c r="C186" s="683" t="str">
        <f t="shared" ca="1" si="47"/>
        <v>Portugal</v>
      </c>
      <c r="D186" s="684" t="str">
        <f ca="1">IF(C186="","",Voorblad!$X$89)</f>
        <v>F3</v>
      </c>
    </row>
    <row r="187" spans="1:4" s="689" customFormat="1" x14ac:dyDescent="0.25">
      <c r="A187" s="681" t="str">
        <f t="shared" si="58"/>
        <v>E</v>
      </c>
      <c r="B187" s="682">
        <f t="shared" si="59"/>
        <v>35</v>
      </c>
      <c r="C187" s="683" t="str">
        <f t="shared" ca="1" si="47"/>
        <v>Tschechische Republik</v>
      </c>
      <c r="D187" s="684" t="str">
        <f ca="1">IF(C187="","",Voorblad!$X$90)</f>
        <v>F4</v>
      </c>
    </row>
    <row r="188" spans="1:4" s="689" customFormat="1" x14ac:dyDescent="0.25">
      <c r="A188" s="681" t="str">
        <f t="shared" si="58"/>
        <v>E</v>
      </c>
      <c r="B188" s="682">
        <f>B187+2</f>
        <v>37</v>
      </c>
      <c r="C188" s="683" t="str">
        <f t="shared" ca="1" si="47"/>
        <v>ZZZ_land_G1</v>
      </c>
      <c r="D188" s="684" t="str">
        <f ca="1">IF(C188="","",Voorblad!$X$91)</f>
        <v>G1</v>
      </c>
    </row>
    <row r="189" spans="1:4" s="689" customFormat="1" x14ac:dyDescent="0.25">
      <c r="A189" s="681" t="str">
        <f>A188</f>
        <v>E</v>
      </c>
      <c r="B189" s="682">
        <f>B188+1</f>
        <v>38</v>
      </c>
      <c r="C189" s="683" t="str">
        <f t="shared" ca="1" si="47"/>
        <v>ZZZ_land_G2</v>
      </c>
      <c r="D189" s="684" t="str">
        <f ca="1">IF(C189="","",Voorblad!$X$92)</f>
        <v>G2</v>
      </c>
    </row>
    <row r="190" spans="1:4" s="689" customFormat="1" x14ac:dyDescent="0.25">
      <c r="A190" s="681" t="str">
        <f t="shared" ref="A190:A192" si="60">A189</f>
        <v>E</v>
      </c>
      <c r="B190" s="682">
        <f t="shared" ref="B190:B191" si="61">B189+1</f>
        <v>39</v>
      </c>
      <c r="C190" s="683" t="str">
        <f t="shared" ca="1" si="47"/>
        <v>ZZZ_land_G3</v>
      </c>
      <c r="D190" s="684" t="str">
        <f ca="1">IF(C190="","",Voorblad!$X$93)</f>
        <v>G3</v>
      </c>
    </row>
    <row r="191" spans="1:4" s="689" customFormat="1" x14ac:dyDescent="0.25">
      <c r="A191" s="681" t="str">
        <f t="shared" si="60"/>
        <v>E</v>
      </c>
      <c r="B191" s="682">
        <f t="shared" si="61"/>
        <v>40</v>
      </c>
      <c r="C191" s="683" t="str">
        <f t="shared" ca="1" si="47"/>
        <v>ZZZ_land_G4</v>
      </c>
      <c r="D191" s="684" t="str">
        <f ca="1">IF(C191="","",Voorblad!$X$94)</f>
        <v>G4</v>
      </c>
    </row>
    <row r="192" spans="1:4" s="689" customFormat="1" x14ac:dyDescent="0.25">
      <c r="A192" s="681" t="str">
        <f t="shared" si="60"/>
        <v>E</v>
      </c>
      <c r="B192" s="682">
        <f>B191+2</f>
        <v>42</v>
      </c>
      <c r="C192" s="683" t="str">
        <f t="shared" ca="1" si="47"/>
        <v>ZZZ_land_H1</v>
      </c>
      <c r="D192" s="684" t="str">
        <f ca="1">IF(C192="","",Voorblad!$X$95)</f>
        <v>H1</v>
      </c>
    </row>
    <row r="193" spans="1:4" s="689" customFormat="1" x14ac:dyDescent="0.25">
      <c r="A193" s="681" t="str">
        <f>A192</f>
        <v>E</v>
      </c>
      <c r="B193" s="682">
        <f>B192+1</f>
        <v>43</v>
      </c>
      <c r="C193" s="683" t="str">
        <f t="shared" ca="1" si="47"/>
        <v>ZZZ_land_H2</v>
      </c>
      <c r="D193" s="684" t="str">
        <f ca="1">IF(C193="","",Voorblad!$X$96)</f>
        <v>H2</v>
      </c>
    </row>
    <row r="194" spans="1:4" s="689" customFormat="1" x14ac:dyDescent="0.25">
      <c r="A194" s="681" t="str">
        <f t="shared" ref="A194:A195" si="62">A193</f>
        <v>E</v>
      </c>
      <c r="B194" s="682">
        <f t="shared" ref="B194:B195" si="63">B193+1</f>
        <v>44</v>
      </c>
      <c r="C194" s="683" t="str">
        <f t="shared" ca="1" si="47"/>
        <v>ZZZ_land_H3</v>
      </c>
      <c r="D194" s="684" t="str">
        <f ca="1">IF(C194="","",Voorblad!$X$97)</f>
        <v>H3</v>
      </c>
    </row>
    <row r="195" spans="1:4" s="689" customFormat="1" x14ac:dyDescent="0.25">
      <c r="A195" s="685" t="str">
        <f t="shared" si="62"/>
        <v>E</v>
      </c>
      <c r="B195" s="686">
        <f t="shared" si="63"/>
        <v>45</v>
      </c>
      <c r="C195" s="687" t="str">
        <f t="shared" ca="1" si="47"/>
        <v>ZZZ_land_H4</v>
      </c>
      <c r="D195" s="688" t="str">
        <f ca="1">IF(C195="","",Voorblad!X$98)</f>
        <v>H4</v>
      </c>
    </row>
    <row r="196" spans="1:4" s="689" customFormat="1" x14ac:dyDescent="0.25">
      <c r="A196" s="665" t="str">
        <f>CHAR(CODE(A164)+1)</f>
        <v>F</v>
      </c>
      <c r="B196" s="666">
        <v>7</v>
      </c>
      <c r="C196" s="667" t="str">
        <f t="shared" ca="1" si="47"/>
        <v>Tyskland</v>
      </c>
      <c r="D196" s="668" t="str">
        <f ca="1">IF(C196="","",Voorblad!$X$67)</f>
        <v>A1</v>
      </c>
    </row>
    <row r="197" spans="1:4" s="689" customFormat="1" x14ac:dyDescent="0.25">
      <c r="A197" s="669" t="str">
        <f>A196</f>
        <v>F</v>
      </c>
      <c r="B197" s="670">
        <f>B196+1</f>
        <v>8</v>
      </c>
      <c r="C197" s="671" t="str">
        <f t="shared" ca="1" si="47"/>
        <v>Skottland</v>
      </c>
      <c r="D197" s="672" t="str">
        <f ca="1">IF(C197="","",Voorblad!$X$68)</f>
        <v>A2</v>
      </c>
    </row>
    <row r="198" spans="1:4" s="689" customFormat="1" x14ac:dyDescent="0.25">
      <c r="A198" s="669" t="str">
        <f t="shared" ref="A198:A200" si="64">A197</f>
        <v>F</v>
      </c>
      <c r="B198" s="670">
        <f t="shared" ref="B198:B199" si="65">B197+1</f>
        <v>9</v>
      </c>
      <c r="C198" s="671" t="str">
        <f t="shared" ca="1" si="47"/>
        <v>Ungern</v>
      </c>
      <c r="D198" s="672" t="str">
        <f ca="1">IF(C198="","",Voorblad!$X$69)</f>
        <v>A3</v>
      </c>
    </row>
    <row r="199" spans="1:4" s="689" customFormat="1" x14ac:dyDescent="0.25">
      <c r="A199" s="669" t="str">
        <f t="shared" si="64"/>
        <v>F</v>
      </c>
      <c r="B199" s="670">
        <f t="shared" si="65"/>
        <v>10</v>
      </c>
      <c r="C199" s="671" t="str">
        <f t="shared" ca="1" si="47"/>
        <v>Schweiz</v>
      </c>
      <c r="D199" s="672" t="str">
        <f ca="1">IF(C199="","",Voorblad!$X$70)</f>
        <v>A4</v>
      </c>
    </row>
    <row r="200" spans="1:4" s="689" customFormat="1" x14ac:dyDescent="0.25">
      <c r="A200" s="669" t="str">
        <f t="shared" si="64"/>
        <v>F</v>
      </c>
      <c r="B200" s="670">
        <f>B199+2</f>
        <v>12</v>
      </c>
      <c r="C200" s="671" t="str">
        <f t="shared" ca="1" si="47"/>
        <v>Spanien</v>
      </c>
      <c r="D200" s="672" t="str">
        <f ca="1">IF(C200="","",Voorblad!$X$71)</f>
        <v>B1</v>
      </c>
    </row>
    <row r="201" spans="1:4" s="689" customFormat="1" x14ac:dyDescent="0.25">
      <c r="A201" s="669" t="str">
        <f>A200</f>
        <v>F</v>
      </c>
      <c r="B201" s="670">
        <f>B200+1</f>
        <v>13</v>
      </c>
      <c r="C201" s="671" t="str">
        <f t="shared" ca="1" si="47"/>
        <v>Kroatien</v>
      </c>
      <c r="D201" s="672" t="str">
        <f ca="1">IF(C201="","",Voorblad!$X$72)</f>
        <v>B2</v>
      </c>
    </row>
    <row r="202" spans="1:4" s="689" customFormat="1" x14ac:dyDescent="0.25">
      <c r="A202" s="669" t="str">
        <f t="shared" ref="A202:A204" si="66">A201</f>
        <v>F</v>
      </c>
      <c r="B202" s="670">
        <f t="shared" ref="B202:B203" si="67">B201+1</f>
        <v>14</v>
      </c>
      <c r="C202" s="671" t="str">
        <f t="shared" ca="1" si="47"/>
        <v>Italien</v>
      </c>
      <c r="D202" s="672" t="str">
        <f ca="1">IF(C202="","",Voorblad!$X$73)</f>
        <v>B3</v>
      </c>
    </row>
    <row r="203" spans="1:4" s="689" customFormat="1" x14ac:dyDescent="0.25">
      <c r="A203" s="669" t="str">
        <f t="shared" si="66"/>
        <v>F</v>
      </c>
      <c r="B203" s="670">
        <f t="shared" si="67"/>
        <v>15</v>
      </c>
      <c r="C203" s="671" t="str">
        <f t="shared" ca="1" si="47"/>
        <v>Albanien</v>
      </c>
      <c r="D203" s="672" t="str">
        <f ca="1">IF(C203="","",Voorblad!$X$74)</f>
        <v>B4</v>
      </c>
    </row>
    <row r="204" spans="1:4" s="689" customFormat="1" x14ac:dyDescent="0.25">
      <c r="A204" s="669" t="str">
        <f t="shared" si="66"/>
        <v>F</v>
      </c>
      <c r="B204" s="670">
        <f>B203+2</f>
        <v>17</v>
      </c>
      <c r="C204" s="671" t="str">
        <f t="shared" ca="1" si="47"/>
        <v>Slovenien</v>
      </c>
      <c r="D204" s="672" t="str">
        <f ca="1">IF(C204="","",Voorblad!$X$75)</f>
        <v>C1</v>
      </c>
    </row>
    <row r="205" spans="1:4" s="689" customFormat="1" x14ac:dyDescent="0.25">
      <c r="A205" s="669" t="str">
        <f>A204</f>
        <v>F</v>
      </c>
      <c r="B205" s="670">
        <f>B204+1</f>
        <v>18</v>
      </c>
      <c r="C205" s="671" t="str">
        <f t="shared" ca="1" si="47"/>
        <v>Danmark</v>
      </c>
      <c r="D205" s="672" t="str">
        <f ca="1">IF(C205="","",Voorblad!$X$76)</f>
        <v>C2</v>
      </c>
    </row>
    <row r="206" spans="1:4" s="689" customFormat="1" x14ac:dyDescent="0.25">
      <c r="A206" s="669" t="str">
        <f t="shared" ref="A206:A208" si="68">A205</f>
        <v>F</v>
      </c>
      <c r="B206" s="670">
        <f t="shared" ref="B206:B207" si="69">B205+1</f>
        <v>19</v>
      </c>
      <c r="C206" s="671" t="str">
        <f t="shared" ca="1" si="47"/>
        <v>Serbien</v>
      </c>
      <c r="D206" s="672" t="str">
        <f ca="1">IF(C206="","",Voorblad!$X$77)</f>
        <v>C3</v>
      </c>
    </row>
    <row r="207" spans="1:4" s="689" customFormat="1" x14ac:dyDescent="0.25">
      <c r="A207" s="669" t="str">
        <f t="shared" si="68"/>
        <v>F</v>
      </c>
      <c r="B207" s="670">
        <f t="shared" si="69"/>
        <v>20</v>
      </c>
      <c r="C207" s="671" t="str">
        <f t="shared" ca="1" si="47"/>
        <v>England</v>
      </c>
      <c r="D207" s="672" t="str">
        <f ca="1">IF(C207="","",Voorblad!$X$78)</f>
        <v>C4</v>
      </c>
    </row>
    <row r="208" spans="1:4" s="689" customFormat="1" x14ac:dyDescent="0.25">
      <c r="A208" s="669" t="str">
        <f t="shared" si="68"/>
        <v>F</v>
      </c>
      <c r="B208" s="670">
        <f>B207+2</f>
        <v>22</v>
      </c>
      <c r="C208" s="671" t="str">
        <f t="shared" ca="1" si="47"/>
        <v>Polen</v>
      </c>
      <c r="D208" s="672" t="str">
        <f ca="1">IF(C208="","",Voorblad!$X$79)</f>
        <v>D1</v>
      </c>
    </row>
    <row r="209" spans="1:4" s="689" customFormat="1" x14ac:dyDescent="0.25">
      <c r="A209" s="669" t="str">
        <f>A208</f>
        <v>F</v>
      </c>
      <c r="B209" s="670">
        <f>B208+1</f>
        <v>23</v>
      </c>
      <c r="C209" s="671" t="str">
        <f t="shared" ca="1" si="47"/>
        <v>Nederländerna</v>
      </c>
      <c r="D209" s="672" t="str">
        <f ca="1">IF(C209="","",Voorblad!$X$80)</f>
        <v>D2</v>
      </c>
    </row>
    <row r="210" spans="1:4" s="689" customFormat="1" x14ac:dyDescent="0.25">
      <c r="A210" s="669" t="str">
        <f t="shared" ref="A210:A212" si="70">A209</f>
        <v>F</v>
      </c>
      <c r="B210" s="670">
        <f t="shared" ref="B210:B211" si="71">B209+1</f>
        <v>24</v>
      </c>
      <c r="C210" s="671" t="str">
        <f t="shared" ca="1" si="47"/>
        <v>Österrike</v>
      </c>
      <c r="D210" s="672" t="str">
        <f ca="1">IF(C210="","",Voorblad!$X$81)</f>
        <v>D3</v>
      </c>
    </row>
    <row r="211" spans="1:4" s="689" customFormat="1" x14ac:dyDescent="0.25">
      <c r="A211" s="669" t="str">
        <f t="shared" si="70"/>
        <v>F</v>
      </c>
      <c r="B211" s="670">
        <f t="shared" si="71"/>
        <v>25</v>
      </c>
      <c r="C211" s="671" t="str">
        <f t="shared" ca="1" si="47"/>
        <v>Frankrike</v>
      </c>
      <c r="D211" s="672" t="str">
        <f ca="1">IF(C211="","",Voorblad!$X$82)</f>
        <v>D4</v>
      </c>
    </row>
    <row r="212" spans="1:4" s="689" customFormat="1" x14ac:dyDescent="0.25">
      <c r="A212" s="669" t="str">
        <f t="shared" si="70"/>
        <v>F</v>
      </c>
      <c r="B212" s="670">
        <f>B211+2</f>
        <v>27</v>
      </c>
      <c r="C212" s="671" t="str">
        <f t="shared" ca="1" si="47"/>
        <v>Belgien</v>
      </c>
      <c r="D212" s="672" t="str">
        <f ca="1">IF(C212="","",Voorblad!$X$83)</f>
        <v>E1</v>
      </c>
    </row>
    <row r="213" spans="1:4" s="689" customFormat="1" x14ac:dyDescent="0.25">
      <c r="A213" s="669" t="str">
        <f>A212</f>
        <v>F</v>
      </c>
      <c r="B213" s="670">
        <f>B212+1</f>
        <v>28</v>
      </c>
      <c r="C213" s="671" t="str">
        <f t="shared" ca="1" si="47"/>
        <v>Slovakien</v>
      </c>
      <c r="D213" s="672" t="str">
        <f ca="1">IF(C213="","",Voorblad!$X$84)</f>
        <v>E2</v>
      </c>
    </row>
    <row r="214" spans="1:4" s="689" customFormat="1" x14ac:dyDescent="0.25">
      <c r="A214" s="669" t="str">
        <f t="shared" ref="A214:A216" si="72">A213</f>
        <v>F</v>
      </c>
      <c r="B214" s="670">
        <f t="shared" ref="B214:B215" si="73">B213+1</f>
        <v>29</v>
      </c>
      <c r="C214" s="671" t="str">
        <f t="shared" ca="1" si="47"/>
        <v>Rumänien</v>
      </c>
      <c r="D214" s="672" t="str">
        <f ca="1">IF(C214="","",Voorblad!$X$85)</f>
        <v>E3</v>
      </c>
    </row>
    <row r="215" spans="1:4" s="689" customFormat="1" x14ac:dyDescent="0.25">
      <c r="A215" s="669" t="str">
        <f t="shared" si="72"/>
        <v>F</v>
      </c>
      <c r="B215" s="670">
        <f t="shared" si="73"/>
        <v>30</v>
      </c>
      <c r="C215" s="671" t="str">
        <f t="shared" ca="1" si="47"/>
        <v>Ukraina</v>
      </c>
      <c r="D215" s="672" t="str">
        <f ca="1">IF(C215="","",Voorblad!$X$86)</f>
        <v>E4</v>
      </c>
    </row>
    <row r="216" spans="1:4" s="689" customFormat="1" x14ac:dyDescent="0.25">
      <c r="A216" s="669" t="str">
        <f t="shared" si="72"/>
        <v>F</v>
      </c>
      <c r="B216" s="670">
        <f>B215+2</f>
        <v>32</v>
      </c>
      <c r="C216" s="671" t="str">
        <f t="shared" ca="1" si="47"/>
        <v>Turkiet</v>
      </c>
      <c r="D216" s="672" t="str">
        <f ca="1">IF(C216="","",Voorblad!$X$87)</f>
        <v>F1</v>
      </c>
    </row>
    <row r="217" spans="1:4" s="689" customFormat="1" x14ac:dyDescent="0.25">
      <c r="A217" s="669" t="str">
        <f>A216</f>
        <v>F</v>
      </c>
      <c r="B217" s="670">
        <f>B216+1</f>
        <v>33</v>
      </c>
      <c r="C217" s="671" t="str">
        <f t="shared" ca="1" si="47"/>
        <v>Georgien</v>
      </c>
      <c r="D217" s="672" t="str">
        <f ca="1">IF(C217="","",Voorblad!$X$88)</f>
        <v>F2</v>
      </c>
    </row>
    <row r="218" spans="1:4" s="689" customFormat="1" x14ac:dyDescent="0.25">
      <c r="A218" s="669" t="str">
        <f t="shared" ref="A218:A220" si="74">A217</f>
        <v>F</v>
      </c>
      <c r="B218" s="670">
        <f t="shared" ref="B218:B219" si="75">B217+1</f>
        <v>34</v>
      </c>
      <c r="C218" s="671" t="str">
        <f t="shared" ca="1" si="47"/>
        <v>Portugal</v>
      </c>
      <c r="D218" s="672" t="str">
        <f ca="1">IF(C218="","",Voorblad!$X$89)</f>
        <v>F3</v>
      </c>
    </row>
    <row r="219" spans="1:4" s="689" customFormat="1" x14ac:dyDescent="0.25">
      <c r="A219" s="669" t="str">
        <f t="shared" si="74"/>
        <v>F</v>
      </c>
      <c r="B219" s="670">
        <f t="shared" si="75"/>
        <v>35</v>
      </c>
      <c r="C219" s="671" t="str">
        <f t="shared" ca="1" si="47"/>
        <v>Tjeckien</v>
      </c>
      <c r="D219" s="672" t="str">
        <f ca="1">IF(C219="","",Voorblad!$X$90)</f>
        <v>F4</v>
      </c>
    </row>
    <row r="220" spans="1:4" s="689" customFormat="1" x14ac:dyDescent="0.25">
      <c r="A220" s="669" t="str">
        <f t="shared" si="74"/>
        <v>F</v>
      </c>
      <c r="B220" s="670">
        <f>B219+2</f>
        <v>37</v>
      </c>
      <c r="C220" s="671" t="str">
        <f t="shared" ca="1" si="47"/>
        <v>ZZZ_land_G1</v>
      </c>
      <c r="D220" s="672" t="str">
        <f ca="1">IF(C220="","",Voorblad!$X$91)</f>
        <v>G1</v>
      </c>
    </row>
    <row r="221" spans="1:4" s="689" customFormat="1" x14ac:dyDescent="0.25">
      <c r="A221" s="669" t="str">
        <f>A220</f>
        <v>F</v>
      </c>
      <c r="B221" s="670">
        <f>B220+1</f>
        <v>38</v>
      </c>
      <c r="C221" s="671" t="str">
        <f t="shared" ca="1" si="47"/>
        <v>ZZZ_land_G2</v>
      </c>
      <c r="D221" s="672" t="str">
        <f ca="1">IF(C221="","",Voorblad!$X$92)</f>
        <v>G2</v>
      </c>
    </row>
    <row r="222" spans="1:4" s="689" customFormat="1" x14ac:dyDescent="0.25">
      <c r="A222" s="669" t="str">
        <f t="shared" ref="A222:A224" si="76">A221</f>
        <v>F</v>
      </c>
      <c r="B222" s="670">
        <f t="shared" ref="B222:B223" si="77">B221+1</f>
        <v>39</v>
      </c>
      <c r="C222" s="671" t="str">
        <f t="shared" ca="1" si="47"/>
        <v>ZZZ_land_G3</v>
      </c>
      <c r="D222" s="672" t="str">
        <f ca="1">IF(C222="","",Voorblad!$X$93)</f>
        <v>G3</v>
      </c>
    </row>
    <row r="223" spans="1:4" s="689" customFormat="1" x14ac:dyDescent="0.25">
      <c r="A223" s="669" t="str">
        <f t="shared" si="76"/>
        <v>F</v>
      </c>
      <c r="B223" s="670">
        <f t="shared" si="77"/>
        <v>40</v>
      </c>
      <c r="C223" s="671" t="str">
        <f t="shared" ca="1" si="47"/>
        <v>ZZZ_land_G4</v>
      </c>
      <c r="D223" s="672" t="str">
        <f ca="1">IF(C223="","",Voorblad!$X$94)</f>
        <v>G4</v>
      </c>
    </row>
    <row r="224" spans="1:4" s="689" customFormat="1" x14ac:dyDescent="0.25">
      <c r="A224" s="669" t="str">
        <f t="shared" si="76"/>
        <v>F</v>
      </c>
      <c r="B224" s="670">
        <f>B223+2</f>
        <v>42</v>
      </c>
      <c r="C224" s="671" t="str">
        <f t="shared" ca="1" si="47"/>
        <v>ZZZ_land_H1</v>
      </c>
      <c r="D224" s="672" t="str">
        <f ca="1">IF(C224="","",Voorblad!$X$95)</f>
        <v>H1</v>
      </c>
    </row>
    <row r="225" spans="1:4" s="689" customFormat="1" x14ac:dyDescent="0.25">
      <c r="A225" s="669" t="str">
        <f>A224</f>
        <v>F</v>
      </c>
      <c r="B225" s="670">
        <f>B224+1</f>
        <v>43</v>
      </c>
      <c r="C225" s="671" t="str">
        <f t="shared" ca="1" si="47"/>
        <v>ZZZ_land_H2</v>
      </c>
      <c r="D225" s="672" t="str">
        <f ca="1">IF(C225="","",Voorblad!$X$96)</f>
        <v>H2</v>
      </c>
    </row>
    <row r="226" spans="1:4" s="689" customFormat="1" x14ac:dyDescent="0.25">
      <c r="A226" s="669" t="str">
        <f t="shared" ref="A226:A227" si="78">A225</f>
        <v>F</v>
      </c>
      <c r="B226" s="670">
        <f t="shared" ref="B226:B227" si="79">B225+1</f>
        <v>44</v>
      </c>
      <c r="C226" s="671" t="str">
        <f t="shared" ca="1" si="47"/>
        <v>ZZZ_land_H3</v>
      </c>
      <c r="D226" s="672" t="str">
        <f ca="1">IF(C226="","",Voorblad!$X$97)</f>
        <v>H3</v>
      </c>
    </row>
    <row r="227" spans="1:4" s="689" customFormat="1" x14ac:dyDescent="0.25">
      <c r="A227" s="673" t="str">
        <f t="shared" si="78"/>
        <v>F</v>
      </c>
      <c r="B227" s="674">
        <f t="shared" si="79"/>
        <v>45</v>
      </c>
      <c r="C227" s="675" t="str">
        <f t="shared" ca="1" si="47"/>
        <v>ZZZ_land_H4</v>
      </c>
      <c r="D227" s="676" t="str">
        <f ca="1">IF(C227="","",Voorblad!X$98)</f>
        <v>H4</v>
      </c>
    </row>
    <row r="228" spans="1:4" s="689" customFormat="1" x14ac:dyDescent="0.25">
      <c r="A228" s="677" t="str">
        <f>CHAR(CODE(A196)+1)</f>
        <v>G</v>
      </c>
      <c r="B228" s="678">
        <v>7</v>
      </c>
      <c r="C228" s="679" t="str">
        <f t="shared" ca="1" si="47"/>
        <v/>
      </c>
      <c r="D228" s="680" t="str">
        <f ca="1">IF(C228="","",Voorblad!$X$67)</f>
        <v/>
      </c>
    </row>
    <row r="229" spans="1:4" s="689" customFormat="1" x14ac:dyDescent="0.25">
      <c r="A229" s="681" t="str">
        <f>A228</f>
        <v>G</v>
      </c>
      <c r="B229" s="682">
        <f>B228+1</f>
        <v>8</v>
      </c>
      <c r="C229" s="683" t="str">
        <f t="shared" ref="C229:C292" ca="1" si="80">IF(ISBLANK(INDIRECT(A229&amp;B229)),"",INDIRECT(A229&amp;B229))</f>
        <v/>
      </c>
      <c r="D229" s="684" t="str">
        <f ca="1">IF(C229="","",Voorblad!$X$68)</f>
        <v/>
      </c>
    </row>
    <row r="230" spans="1:4" s="689" customFormat="1" x14ac:dyDescent="0.25">
      <c r="A230" s="681" t="str">
        <f t="shared" ref="A230:A232" si="81">A229</f>
        <v>G</v>
      </c>
      <c r="B230" s="682">
        <f t="shared" ref="B230:B231" si="82">B229+1</f>
        <v>9</v>
      </c>
      <c r="C230" s="683" t="str">
        <f t="shared" ca="1" si="80"/>
        <v/>
      </c>
      <c r="D230" s="684" t="str">
        <f ca="1">IF(C230="","",Voorblad!$X$69)</f>
        <v/>
      </c>
    </row>
    <row r="231" spans="1:4" s="689" customFormat="1" x14ac:dyDescent="0.25">
      <c r="A231" s="681" t="str">
        <f t="shared" si="81"/>
        <v>G</v>
      </c>
      <c r="B231" s="682">
        <f t="shared" si="82"/>
        <v>10</v>
      </c>
      <c r="C231" s="683" t="str">
        <f t="shared" ca="1" si="80"/>
        <v/>
      </c>
      <c r="D231" s="684" t="str">
        <f ca="1">IF(C231="","",Voorblad!$X$70)</f>
        <v/>
      </c>
    </row>
    <row r="232" spans="1:4" s="689" customFormat="1" x14ac:dyDescent="0.25">
      <c r="A232" s="681" t="str">
        <f t="shared" si="81"/>
        <v>G</v>
      </c>
      <c r="B232" s="682">
        <f>B231+2</f>
        <v>12</v>
      </c>
      <c r="C232" s="683" t="str">
        <f t="shared" ca="1" si="80"/>
        <v/>
      </c>
      <c r="D232" s="684" t="str">
        <f ca="1">IF(C232="","",Voorblad!$X$71)</f>
        <v/>
      </c>
    </row>
    <row r="233" spans="1:4" s="689" customFormat="1" x14ac:dyDescent="0.25">
      <c r="A233" s="681" t="str">
        <f>A232</f>
        <v>G</v>
      </c>
      <c r="B233" s="682">
        <f>B232+1</f>
        <v>13</v>
      </c>
      <c r="C233" s="683" t="str">
        <f t="shared" ca="1" si="80"/>
        <v/>
      </c>
      <c r="D233" s="684" t="str">
        <f ca="1">IF(C233="","",Voorblad!$X$72)</f>
        <v/>
      </c>
    </row>
    <row r="234" spans="1:4" s="689" customFormat="1" x14ac:dyDescent="0.25">
      <c r="A234" s="681" t="str">
        <f t="shared" ref="A234:A236" si="83">A233</f>
        <v>G</v>
      </c>
      <c r="B234" s="682">
        <f t="shared" ref="B234:B235" si="84">B233+1</f>
        <v>14</v>
      </c>
      <c r="C234" s="683" t="str">
        <f t="shared" ca="1" si="80"/>
        <v/>
      </c>
      <c r="D234" s="684" t="str">
        <f ca="1">IF(C234="","",Voorblad!$X$73)</f>
        <v/>
      </c>
    </row>
    <row r="235" spans="1:4" s="689" customFormat="1" x14ac:dyDescent="0.25">
      <c r="A235" s="681" t="str">
        <f t="shared" si="83"/>
        <v>G</v>
      </c>
      <c r="B235" s="682">
        <f t="shared" si="84"/>
        <v>15</v>
      </c>
      <c r="C235" s="683" t="str">
        <f t="shared" ca="1" si="80"/>
        <v/>
      </c>
      <c r="D235" s="684" t="str">
        <f ca="1">IF(C235="","",Voorblad!$X$74)</f>
        <v/>
      </c>
    </row>
    <row r="236" spans="1:4" s="689" customFormat="1" x14ac:dyDescent="0.25">
      <c r="A236" s="681" t="str">
        <f t="shared" si="83"/>
        <v>G</v>
      </c>
      <c r="B236" s="682">
        <f>B235+2</f>
        <v>17</v>
      </c>
      <c r="C236" s="683" t="str">
        <f t="shared" ca="1" si="80"/>
        <v/>
      </c>
      <c r="D236" s="684" t="str">
        <f ca="1">IF(C236="","",Voorblad!$X$75)</f>
        <v/>
      </c>
    </row>
    <row r="237" spans="1:4" s="689" customFormat="1" x14ac:dyDescent="0.25">
      <c r="A237" s="681" t="str">
        <f>A236</f>
        <v>G</v>
      </c>
      <c r="B237" s="682">
        <f>B236+1</f>
        <v>18</v>
      </c>
      <c r="C237" s="683" t="str">
        <f t="shared" ca="1" si="80"/>
        <v/>
      </c>
      <c r="D237" s="684" t="str">
        <f ca="1">IF(C237="","",Voorblad!$X$76)</f>
        <v/>
      </c>
    </row>
    <row r="238" spans="1:4" s="689" customFormat="1" x14ac:dyDescent="0.25">
      <c r="A238" s="681" t="str">
        <f t="shared" ref="A238:A240" si="85">A237</f>
        <v>G</v>
      </c>
      <c r="B238" s="682">
        <f t="shared" ref="B238:B239" si="86">B237+1</f>
        <v>19</v>
      </c>
      <c r="C238" s="683" t="str">
        <f t="shared" ca="1" si="80"/>
        <v/>
      </c>
      <c r="D238" s="684" t="str">
        <f ca="1">IF(C238="","",Voorblad!$X$77)</f>
        <v/>
      </c>
    </row>
    <row r="239" spans="1:4" s="689" customFormat="1" x14ac:dyDescent="0.25">
      <c r="A239" s="681" t="str">
        <f t="shared" si="85"/>
        <v>G</v>
      </c>
      <c r="B239" s="682">
        <f t="shared" si="86"/>
        <v>20</v>
      </c>
      <c r="C239" s="683" t="str">
        <f t="shared" ca="1" si="80"/>
        <v/>
      </c>
      <c r="D239" s="684" t="str">
        <f ca="1">IF(C239="","",Voorblad!$X$78)</f>
        <v/>
      </c>
    </row>
    <row r="240" spans="1:4" s="689" customFormat="1" x14ac:dyDescent="0.25">
      <c r="A240" s="681" t="str">
        <f t="shared" si="85"/>
        <v>G</v>
      </c>
      <c r="B240" s="682">
        <f>B239+2</f>
        <v>22</v>
      </c>
      <c r="C240" s="683" t="str">
        <f t="shared" ca="1" si="80"/>
        <v/>
      </c>
      <c r="D240" s="684" t="str">
        <f ca="1">IF(C240="","",Voorblad!$X$79)</f>
        <v/>
      </c>
    </row>
    <row r="241" spans="1:4" s="689" customFormat="1" x14ac:dyDescent="0.25">
      <c r="A241" s="681" t="str">
        <f>A240</f>
        <v>G</v>
      </c>
      <c r="B241" s="682">
        <f>B240+1</f>
        <v>23</v>
      </c>
      <c r="C241" s="683" t="str">
        <f t="shared" ca="1" si="80"/>
        <v/>
      </c>
      <c r="D241" s="684" t="str">
        <f ca="1">IF(C241="","",Voorblad!$X$80)</f>
        <v/>
      </c>
    </row>
    <row r="242" spans="1:4" s="689" customFormat="1" x14ac:dyDescent="0.25">
      <c r="A242" s="681" t="str">
        <f t="shared" ref="A242:A244" si="87">A241</f>
        <v>G</v>
      </c>
      <c r="B242" s="682">
        <f t="shared" ref="B242:B243" si="88">B241+1</f>
        <v>24</v>
      </c>
      <c r="C242" s="683" t="str">
        <f t="shared" ca="1" si="80"/>
        <v/>
      </c>
      <c r="D242" s="684" t="str">
        <f ca="1">IF(C242="","",Voorblad!$X$81)</f>
        <v/>
      </c>
    </row>
    <row r="243" spans="1:4" s="689" customFormat="1" x14ac:dyDescent="0.25">
      <c r="A243" s="681" t="str">
        <f t="shared" si="87"/>
        <v>G</v>
      </c>
      <c r="B243" s="682">
        <f t="shared" si="88"/>
        <v>25</v>
      </c>
      <c r="C243" s="683" t="str">
        <f t="shared" ca="1" si="80"/>
        <v/>
      </c>
      <c r="D243" s="684" t="str">
        <f ca="1">IF(C243="","",Voorblad!$X$82)</f>
        <v/>
      </c>
    </row>
    <row r="244" spans="1:4" s="689" customFormat="1" x14ac:dyDescent="0.25">
      <c r="A244" s="681" t="str">
        <f t="shared" si="87"/>
        <v>G</v>
      </c>
      <c r="B244" s="682">
        <f>B243+2</f>
        <v>27</v>
      </c>
      <c r="C244" s="683" t="str">
        <f t="shared" ca="1" si="80"/>
        <v/>
      </c>
      <c r="D244" s="684" t="str">
        <f ca="1">IF(C244="","",Voorblad!$X$83)</f>
        <v/>
      </c>
    </row>
    <row r="245" spans="1:4" s="689" customFormat="1" x14ac:dyDescent="0.25">
      <c r="A245" s="681" t="str">
        <f>A244</f>
        <v>G</v>
      </c>
      <c r="B245" s="682">
        <f>B244+1</f>
        <v>28</v>
      </c>
      <c r="C245" s="683" t="str">
        <f t="shared" ca="1" si="80"/>
        <v/>
      </c>
      <c r="D245" s="684" t="str">
        <f ca="1">IF(C245="","",Voorblad!$X$84)</f>
        <v/>
      </c>
    </row>
    <row r="246" spans="1:4" s="689" customFormat="1" x14ac:dyDescent="0.25">
      <c r="A246" s="681" t="str">
        <f t="shared" ref="A246:A248" si="89">A245</f>
        <v>G</v>
      </c>
      <c r="B246" s="682">
        <f t="shared" ref="B246:B247" si="90">B245+1</f>
        <v>29</v>
      </c>
      <c r="C246" s="683" t="str">
        <f t="shared" ca="1" si="80"/>
        <v/>
      </c>
      <c r="D246" s="684" t="str">
        <f ca="1">IF(C246="","",Voorblad!$X$85)</f>
        <v/>
      </c>
    </row>
    <row r="247" spans="1:4" s="689" customFormat="1" x14ac:dyDescent="0.25">
      <c r="A247" s="681" t="str">
        <f t="shared" si="89"/>
        <v>G</v>
      </c>
      <c r="B247" s="682">
        <f t="shared" si="90"/>
        <v>30</v>
      </c>
      <c r="C247" s="683" t="str">
        <f t="shared" ca="1" si="80"/>
        <v/>
      </c>
      <c r="D247" s="684" t="str">
        <f ca="1">IF(C247="","",Voorblad!$X$86)</f>
        <v/>
      </c>
    </row>
    <row r="248" spans="1:4" s="689" customFormat="1" x14ac:dyDescent="0.25">
      <c r="A248" s="681" t="str">
        <f t="shared" si="89"/>
        <v>G</v>
      </c>
      <c r="B248" s="682">
        <f>B247+2</f>
        <v>32</v>
      </c>
      <c r="C248" s="683" t="str">
        <f t="shared" ca="1" si="80"/>
        <v/>
      </c>
      <c r="D248" s="684" t="str">
        <f ca="1">IF(C248="","",Voorblad!$X$87)</f>
        <v/>
      </c>
    </row>
    <row r="249" spans="1:4" s="689" customFormat="1" x14ac:dyDescent="0.25">
      <c r="A249" s="681" t="str">
        <f>A248</f>
        <v>G</v>
      </c>
      <c r="B249" s="682">
        <f>B248+1</f>
        <v>33</v>
      </c>
      <c r="C249" s="683" t="str">
        <f t="shared" ca="1" si="80"/>
        <v/>
      </c>
      <c r="D249" s="684" t="str">
        <f ca="1">IF(C249="","",Voorblad!$X$88)</f>
        <v/>
      </c>
    </row>
    <row r="250" spans="1:4" s="689" customFormat="1" x14ac:dyDescent="0.25">
      <c r="A250" s="681" t="str">
        <f t="shared" ref="A250:A252" si="91">A249</f>
        <v>G</v>
      </c>
      <c r="B250" s="682">
        <f t="shared" ref="B250:B251" si="92">B249+1</f>
        <v>34</v>
      </c>
      <c r="C250" s="683" t="str">
        <f t="shared" ca="1" si="80"/>
        <v/>
      </c>
      <c r="D250" s="684" t="str">
        <f ca="1">IF(C250="","",Voorblad!$X$89)</f>
        <v/>
      </c>
    </row>
    <row r="251" spans="1:4" s="689" customFormat="1" x14ac:dyDescent="0.25">
      <c r="A251" s="681" t="str">
        <f t="shared" si="91"/>
        <v>G</v>
      </c>
      <c r="B251" s="682">
        <f t="shared" si="92"/>
        <v>35</v>
      </c>
      <c r="C251" s="683" t="str">
        <f t="shared" ca="1" si="80"/>
        <v/>
      </c>
      <c r="D251" s="684" t="str">
        <f ca="1">IF(C251="","",Voorblad!$X$90)</f>
        <v/>
      </c>
    </row>
    <row r="252" spans="1:4" s="689" customFormat="1" x14ac:dyDescent="0.25">
      <c r="A252" s="681" t="str">
        <f t="shared" si="91"/>
        <v>G</v>
      </c>
      <c r="B252" s="682">
        <f>B251+2</f>
        <v>37</v>
      </c>
      <c r="C252" s="683" t="str">
        <f t="shared" ca="1" si="80"/>
        <v/>
      </c>
      <c r="D252" s="684" t="str">
        <f ca="1">IF(C252="","",Voorblad!$X$91)</f>
        <v/>
      </c>
    </row>
    <row r="253" spans="1:4" s="689" customFormat="1" x14ac:dyDescent="0.25">
      <c r="A253" s="681" t="str">
        <f>A252</f>
        <v>G</v>
      </c>
      <c r="B253" s="682">
        <f>B252+1</f>
        <v>38</v>
      </c>
      <c r="C253" s="683" t="str">
        <f t="shared" ca="1" si="80"/>
        <v/>
      </c>
      <c r="D253" s="684" t="str">
        <f ca="1">IF(C253="","",Voorblad!$X$92)</f>
        <v/>
      </c>
    </row>
    <row r="254" spans="1:4" s="689" customFormat="1" x14ac:dyDescent="0.25">
      <c r="A254" s="681" t="str">
        <f t="shared" ref="A254:A256" si="93">A253</f>
        <v>G</v>
      </c>
      <c r="B254" s="682">
        <f t="shared" ref="B254:B255" si="94">B253+1</f>
        <v>39</v>
      </c>
      <c r="C254" s="683" t="str">
        <f t="shared" ca="1" si="80"/>
        <v/>
      </c>
      <c r="D254" s="684" t="str">
        <f ca="1">IF(C254="","",Voorblad!$X$93)</f>
        <v/>
      </c>
    </row>
    <row r="255" spans="1:4" s="689" customFormat="1" x14ac:dyDescent="0.25">
      <c r="A255" s="681" t="str">
        <f t="shared" si="93"/>
        <v>G</v>
      </c>
      <c r="B255" s="682">
        <f t="shared" si="94"/>
        <v>40</v>
      </c>
      <c r="C255" s="683" t="str">
        <f t="shared" ca="1" si="80"/>
        <v/>
      </c>
      <c r="D255" s="684" t="str">
        <f ca="1">IF(C255="","",Voorblad!$X$94)</f>
        <v/>
      </c>
    </row>
    <row r="256" spans="1:4" s="689" customFormat="1" x14ac:dyDescent="0.25">
      <c r="A256" s="681" t="str">
        <f t="shared" si="93"/>
        <v>G</v>
      </c>
      <c r="B256" s="682">
        <f>B255+2</f>
        <v>42</v>
      </c>
      <c r="C256" s="683" t="str">
        <f t="shared" ca="1" si="80"/>
        <v/>
      </c>
      <c r="D256" s="684" t="str">
        <f ca="1">IF(C256="","",Voorblad!$X$95)</f>
        <v/>
      </c>
    </row>
    <row r="257" spans="1:4" s="689" customFormat="1" x14ac:dyDescent="0.25">
      <c r="A257" s="681" t="str">
        <f>A256</f>
        <v>G</v>
      </c>
      <c r="B257" s="682">
        <f>B256+1</f>
        <v>43</v>
      </c>
      <c r="C257" s="683" t="str">
        <f t="shared" ca="1" si="80"/>
        <v/>
      </c>
      <c r="D257" s="684" t="str">
        <f ca="1">IF(C257="","",Voorblad!$X$96)</f>
        <v/>
      </c>
    </row>
    <row r="258" spans="1:4" s="689" customFormat="1" x14ac:dyDescent="0.25">
      <c r="A258" s="681" t="str">
        <f t="shared" ref="A258:A259" si="95">A257</f>
        <v>G</v>
      </c>
      <c r="B258" s="682">
        <f t="shared" ref="B258:B259" si="96">B257+1</f>
        <v>44</v>
      </c>
      <c r="C258" s="683" t="str">
        <f t="shared" ca="1" si="80"/>
        <v/>
      </c>
      <c r="D258" s="684" t="str">
        <f ca="1">IF(C258="","",Voorblad!$X$97)</f>
        <v/>
      </c>
    </row>
    <row r="259" spans="1:4" s="689" customFormat="1" x14ac:dyDescent="0.25">
      <c r="A259" s="685" t="str">
        <f t="shared" si="95"/>
        <v>G</v>
      </c>
      <c r="B259" s="686">
        <f t="shared" si="96"/>
        <v>45</v>
      </c>
      <c r="C259" s="687" t="str">
        <f t="shared" ca="1" si="80"/>
        <v/>
      </c>
      <c r="D259" s="688" t="str">
        <f ca="1">IF(C259="","",Voorblad!X$98)</f>
        <v/>
      </c>
    </row>
    <row r="260" spans="1:4" s="689" customFormat="1" x14ac:dyDescent="0.25">
      <c r="A260" s="665" t="str">
        <f>CHAR(CODE(A228)+1)</f>
        <v>H</v>
      </c>
      <c r="B260" s="666">
        <v>7</v>
      </c>
      <c r="C260" s="667" t="str">
        <f t="shared" ca="1" si="80"/>
        <v/>
      </c>
      <c r="D260" s="668" t="str">
        <f ca="1">IF(C260="","",Voorblad!$X$67)</f>
        <v/>
      </c>
    </row>
    <row r="261" spans="1:4" s="689" customFormat="1" x14ac:dyDescent="0.25">
      <c r="A261" s="669" t="str">
        <f>A260</f>
        <v>H</v>
      </c>
      <c r="B261" s="670">
        <f>B260+1</f>
        <v>8</v>
      </c>
      <c r="C261" s="671" t="str">
        <f t="shared" ca="1" si="80"/>
        <v/>
      </c>
      <c r="D261" s="672" t="str">
        <f ca="1">IF(C261="","",Voorblad!$X$68)</f>
        <v/>
      </c>
    </row>
    <row r="262" spans="1:4" s="689" customFormat="1" x14ac:dyDescent="0.25">
      <c r="A262" s="669" t="str">
        <f t="shared" ref="A262:A264" si="97">A261</f>
        <v>H</v>
      </c>
      <c r="B262" s="670">
        <f t="shared" ref="B262:B263" si="98">B261+1</f>
        <v>9</v>
      </c>
      <c r="C262" s="671" t="str">
        <f t="shared" ca="1" si="80"/>
        <v/>
      </c>
      <c r="D262" s="672" t="str">
        <f ca="1">IF(C262="","",Voorblad!$X$69)</f>
        <v/>
      </c>
    </row>
    <row r="263" spans="1:4" s="689" customFormat="1" x14ac:dyDescent="0.25">
      <c r="A263" s="669" t="str">
        <f t="shared" si="97"/>
        <v>H</v>
      </c>
      <c r="B263" s="670">
        <f t="shared" si="98"/>
        <v>10</v>
      </c>
      <c r="C263" s="671" t="str">
        <f t="shared" ca="1" si="80"/>
        <v/>
      </c>
      <c r="D263" s="672" t="str">
        <f ca="1">IF(C263="","",Voorblad!$X$70)</f>
        <v/>
      </c>
    </row>
    <row r="264" spans="1:4" s="689" customFormat="1" x14ac:dyDescent="0.25">
      <c r="A264" s="669" t="str">
        <f t="shared" si="97"/>
        <v>H</v>
      </c>
      <c r="B264" s="670">
        <f>B263+2</f>
        <v>12</v>
      </c>
      <c r="C264" s="671" t="str">
        <f t="shared" ca="1" si="80"/>
        <v/>
      </c>
      <c r="D264" s="672" t="str">
        <f ca="1">IF(C264="","",Voorblad!$X$71)</f>
        <v/>
      </c>
    </row>
    <row r="265" spans="1:4" s="689" customFormat="1" x14ac:dyDescent="0.25">
      <c r="A265" s="669" t="str">
        <f>A264</f>
        <v>H</v>
      </c>
      <c r="B265" s="670">
        <f>B264+1</f>
        <v>13</v>
      </c>
      <c r="C265" s="671" t="str">
        <f t="shared" ca="1" si="80"/>
        <v/>
      </c>
      <c r="D265" s="672" t="str">
        <f ca="1">IF(C265="","",Voorblad!$X$72)</f>
        <v/>
      </c>
    </row>
    <row r="266" spans="1:4" s="689" customFormat="1" x14ac:dyDescent="0.25">
      <c r="A266" s="669" t="str">
        <f t="shared" ref="A266:A268" si="99">A265</f>
        <v>H</v>
      </c>
      <c r="B266" s="670">
        <f t="shared" ref="B266:B267" si="100">B265+1</f>
        <v>14</v>
      </c>
      <c r="C266" s="671" t="str">
        <f t="shared" ca="1" si="80"/>
        <v/>
      </c>
      <c r="D266" s="672" t="str">
        <f ca="1">IF(C266="","",Voorblad!$X$73)</f>
        <v/>
      </c>
    </row>
    <row r="267" spans="1:4" s="689" customFormat="1" x14ac:dyDescent="0.25">
      <c r="A267" s="669" t="str">
        <f t="shared" si="99"/>
        <v>H</v>
      </c>
      <c r="B267" s="670">
        <f t="shared" si="100"/>
        <v>15</v>
      </c>
      <c r="C267" s="671" t="str">
        <f t="shared" ca="1" si="80"/>
        <v/>
      </c>
      <c r="D267" s="672" t="str">
        <f ca="1">IF(C267="","",Voorblad!$X$74)</f>
        <v/>
      </c>
    </row>
    <row r="268" spans="1:4" s="689" customFormat="1" x14ac:dyDescent="0.25">
      <c r="A268" s="669" t="str">
        <f t="shared" si="99"/>
        <v>H</v>
      </c>
      <c r="B268" s="670">
        <f>B267+2</f>
        <v>17</v>
      </c>
      <c r="C268" s="671" t="str">
        <f t="shared" ca="1" si="80"/>
        <v/>
      </c>
      <c r="D268" s="672" t="str">
        <f ca="1">IF(C268="","",Voorblad!$X$75)</f>
        <v/>
      </c>
    </row>
    <row r="269" spans="1:4" s="689" customFormat="1" x14ac:dyDescent="0.25">
      <c r="A269" s="669" t="str">
        <f>A268</f>
        <v>H</v>
      </c>
      <c r="B269" s="670">
        <f>B268+1</f>
        <v>18</v>
      </c>
      <c r="C269" s="671" t="str">
        <f t="shared" ca="1" si="80"/>
        <v/>
      </c>
      <c r="D269" s="672" t="str">
        <f ca="1">IF(C269="","",Voorblad!$X$76)</f>
        <v/>
      </c>
    </row>
    <row r="270" spans="1:4" s="689" customFormat="1" x14ac:dyDescent="0.25">
      <c r="A270" s="669" t="str">
        <f t="shared" ref="A270:A272" si="101">A269</f>
        <v>H</v>
      </c>
      <c r="B270" s="670">
        <f t="shared" ref="B270:B271" si="102">B269+1</f>
        <v>19</v>
      </c>
      <c r="C270" s="671" t="str">
        <f t="shared" ca="1" si="80"/>
        <v/>
      </c>
      <c r="D270" s="672" t="str">
        <f ca="1">IF(C270="","",Voorblad!$X$77)</f>
        <v/>
      </c>
    </row>
    <row r="271" spans="1:4" s="689" customFormat="1" x14ac:dyDescent="0.25">
      <c r="A271" s="669" t="str">
        <f t="shared" si="101"/>
        <v>H</v>
      </c>
      <c r="B271" s="670">
        <f t="shared" si="102"/>
        <v>20</v>
      </c>
      <c r="C271" s="671" t="str">
        <f t="shared" ca="1" si="80"/>
        <v/>
      </c>
      <c r="D271" s="672" t="str">
        <f ca="1">IF(C271="","",Voorblad!$X$78)</f>
        <v/>
      </c>
    </row>
    <row r="272" spans="1:4" s="689" customFormat="1" x14ac:dyDescent="0.25">
      <c r="A272" s="669" t="str">
        <f t="shared" si="101"/>
        <v>H</v>
      </c>
      <c r="B272" s="670">
        <f>B271+2</f>
        <v>22</v>
      </c>
      <c r="C272" s="671" t="str">
        <f t="shared" ca="1" si="80"/>
        <v/>
      </c>
      <c r="D272" s="672" t="str">
        <f ca="1">IF(C272="","",Voorblad!$X$79)</f>
        <v/>
      </c>
    </row>
    <row r="273" spans="1:4" s="689" customFormat="1" x14ac:dyDescent="0.25">
      <c r="A273" s="669" t="str">
        <f>A272</f>
        <v>H</v>
      </c>
      <c r="B273" s="670">
        <f>B272+1</f>
        <v>23</v>
      </c>
      <c r="C273" s="671" t="str">
        <f t="shared" ca="1" si="80"/>
        <v/>
      </c>
      <c r="D273" s="672" t="str">
        <f ca="1">IF(C273="","",Voorblad!$X$80)</f>
        <v/>
      </c>
    </row>
    <row r="274" spans="1:4" s="689" customFormat="1" x14ac:dyDescent="0.25">
      <c r="A274" s="669" t="str">
        <f t="shared" ref="A274:A276" si="103">A273</f>
        <v>H</v>
      </c>
      <c r="B274" s="670">
        <f t="shared" ref="B274:B275" si="104">B273+1</f>
        <v>24</v>
      </c>
      <c r="C274" s="671" t="str">
        <f t="shared" ca="1" si="80"/>
        <v/>
      </c>
      <c r="D274" s="672" t="str">
        <f ca="1">IF(C274="","",Voorblad!$X$81)</f>
        <v/>
      </c>
    </row>
    <row r="275" spans="1:4" s="689" customFormat="1" x14ac:dyDescent="0.25">
      <c r="A275" s="669" t="str">
        <f t="shared" si="103"/>
        <v>H</v>
      </c>
      <c r="B275" s="670">
        <f t="shared" si="104"/>
        <v>25</v>
      </c>
      <c r="C275" s="671" t="str">
        <f t="shared" ca="1" si="80"/>
        <v/>
      </c>
      <c r="D275" s="672" t="str">
        <f ca="1">IF(C275="","",Voorblad!$X$82)</f>
        <v/>
      </c>
    </row>
    <row r="276" spans="1:4" s="689" customFormat="1" x14ac:dyDescent="0.25">
      <c r="A276" s="669" t="str">
        <f t="shared" si="103"/>
        <v>H</v>
      </c>
      <c r="B276" s="670">
        <f>B275+2</f>
        <v>27</v>
      </c>
      <c r="C276" s="671" t="str">
        <f t="shared" ca="1" si="80"/>
        <v/>
      </c>
      <c r="D276" s="672" t="str">
        <f ca="1">IF(C276="","",Voorblad!$X$83)</f>
        <v/>
      </c>
    </row>
    <row r="277" spans="1:4" s="689" customFormat="1" x14ac:dyDescent="0.25">
      <c r="A277" s="669" t="str">
        <f>A276</f>
        <v>H</v>
      </c>
      <c r="B277" s="670">
        <f>B276+1</f>
        <v>28</v>
      </c>
      <c r="C277" s="671" t="str">
        <f t="shared" ca="1" si="80"/>
        <v/>
      </c>
      <c r="D277" s="672" t="str">
        <f ca="1">IF(C277="","",Voorblad!$X$84)</f>
        <v/>
      </c>
    </row>
    <row r="278" spans="1:4" s="689" customFormat="1" x14ac:dyDescent="0.25">
      <c r="A278" s="669" t="str">
        <f t="shared" ref="A278:A280" si="105">A277</f>
        <v>H</v>
      </c>
      <c r="B278" s="670">
        <f t="shared" ref="B278:B279" si="106">B277+1</f>
        <v>29</v>
      </c>
      <c r="C278" s="671" t="str">
        <f t="shared" ca="1" si="80"/>
        <v/>
      </c>
      <c r="D278" s="672" t="str">
        <f ca="1">IF(C278="","",Voorblad!$X$85)</f>
        <v/>
      </c>
    </row>
    <row r="279" spans="1:4" s="689" customFormat="1" x14ac:dyDescent="0.25">
      <c r="A279" s="669" t="str">
        <f t="shared" si="105"/>
        <v>H</v>
      </c>
      <c r="B279" s="670">
        <f t="shared" si="106"/>
        <v>30</v>
      </c>
      <c r="C279" s="671" t="str">
        <f t="shared" ca="1" si="80"/>
        <v/>
      </c>
      <c r="D279" s="672" t="str">
        <f ca="1">IF(C279="","",Voorblad!$X$86)</f>
        <v/>
      </c>
    </row>
    <row r="280" spans="1:4" s="689" customFormat="1" x14ac:dyDescent="0.25">
      <c r="A280" s="669" t="str">
        <f t="shared" si="105"/>
        <v>H</v>
      </c>
      <c r="B280" s="670">
        <f>B279+2</f>
        <v>32</v>
      </c>
      <c r="C280" s="671" t="str">
        <f t="shared" ca="1" si="80"/>
        <v/>
      </c>
      <c r="D280" s="672" t="str">
        <f ca="1">IF(C280="","",Voorblad!$X$87)</f>
        <v/>
      </c>
    </row>
    <row r="281" spans="1:4" s="689" customFormat="1" x14ac:dyDescent="0.25">
      <c r="A281" s="669" t="str">
        <f>A280</f>
        <v>H</v>
      </c>
      <c r="B281" s="670">
        <f>B280+1</f>
        <v>33</v>
      </c>
      <c r="C281" s="671" t="str">
        <f t="shared" ca="1" si="80"/>
        <v/>
      </c>
      <c r="D281" s="672" t="str">
        <f ca="1">IF(C281="","",Voorblad!$X$88)</f>
        <v/>
      </c>
    </row>
    <row r="282" spans="1:4" s="689" customFormat="1" x14ac:dyDescent="0.25">
      <c r="A282" s="669" t="str">
        <f t="shared" ref="A282:A284" si="107">A281</f>
        <v>H</v>
      </c>
      <c r="B282" s="670">
        <f t="shared" ref="B282:B283" si="108">B281+1</f>
        <v>34</v>
      </c>
      <c r="C282" s="671" t="str">
        <f t="shared" ca="1" si="80"/>
        <v/>
      </c>
      <c r="D282" s="672" t="str">
        <f ca="1">IF(C282="","",Voorblad!$X$89)</f>
        <v/>
      </c>
    </row>
    <row r="283" spans="1:4" s="689" customFormat="1" x14ac:dyDescent="0.25">
      <c r="A283" s="669" t="str">
        <f t="shared" si="107"/>
        <v>H</v>
      </c>
      <c r="B283" s="670">
        <f t="shared" si="108"/>
        <v>35</v>
      </c>
      <c r="C283" s="671" t="str">
        <f t="shared" ca="1" si="80"/>
        <v/>
      </c>
      <c r="D283" s="672" t="str">
        <f ca="1">IF(C283="","",Voorblad!$X$90)</f>
        <v/>
      </c>
    </row>
    <row r="284" spans="1:4" s="689" customFormat="1" x14ac:dyDescent="0.25">
      <c r="A284" s="669" t="str">
        <f t="shared" si="107"/>
        <v>H</v>
      </c>
      <c r="B284" s="670">
        <f>B283+2</f>
        <v>37</v>
      </c>
      <c r="C284" s="671" t="str">
        <f t="shared" ca="1" si="80"/>
        <v/>
      </c>
      <c r="D284" s="672" t="str">
        <f ca="1">IF(C284="","",Voorblad!$X$91)</f>
        <v/>
      </c>
    </row>
    <row r="285" spans="1:4" s="689" customFormat="1" x14ac:dyDescent="0.25">
      <c r="A285" s="669" t="str">
        <f>A284</f>
        <v>H</v>
      </c>
      <c r="B285" s="670">
        <f>B284+1</f>
        <v>38</v>
      </c>
      <c r="C285" s="671" t="str">
        <f t="shared" ca="1" si="80"/>
        <v/>
      </c>
      <c r="D285" s="672" t="str">
        <f ca="1">IF(C285="","",Voorblad!$X$92)</f>
        <v/>
      </c>
    </row>
    <row r="286" spans="1:4" s="689" customFormat="1" x14ac:dyDescent="0.25">
      <c r="A286" s="669" t="str">
        <f t="shared" ref="A286:A288" si="109">A285</f>
        <v>H</v>
      </c>
      <c r="B286" s="670">
        <f t="shared" ref="B286:B287" si="110">B285+1</f>
        <v>39</v>
      </c>
      <c r="C286" s="671" t="str">
        <f t="shared" ca="1" si="80"/>
        <v/>
      </c>
      <c r="D286" s="672" t="str">
        <f ca="1">IF(C286="","",Voorblad!$X$93)</f>
        <v/>
      </c>
    </row>
    <row r="287" spans="1:4" s="689" customFormat="1" x14ac:dyDescent="0.25">
      <c r="A287" s="669" t="str">
        <f t="shared" si="109"/>
        <v>H</v>
      </c>
      <c r="B287" s="670">
        <f t="shared" si="110"/>
        <v>40</v>
      </c>
      <c r="C287" s="671" t="str">
        <f t="shared" ca="1" si="80"/>
        <v/>
      </c>
      <c r="D287" s="672" t="str">
        <f ca="1">IF(C287="","",Voorblad!$X$94)</f>
        <v/>
      </c>
    </row>
    <row r="288" spans="1:4" s="689" customFormat="1" x14ac:dyDescent="0.25">
      <c r="A288" s="669" t="str">
        <f t="shared" si="109"/>
        <v>H</v>
      </c>
      <c r="B288" s="670">
        <f>B287+2</f>
        <v>42</v>
      </c>
      <c r="C288" s="671" t="str">
        <f t="shared" ca="1" si="80"/>
        <v/>
      </c>
      <c r="D288" s="672" t="str">
        <f ca="1">IF(C288="","",Voorblad!$X$95)</f>
        <v/>
      </c>
    </row>
    <row r="289" spans="1:4" s="689" customFormat="1" x14ac:dyDescent="0.25">
      <c r="A289" s="669" t="str">
        <f>A288</f>
        <v>H</v>
      </c>
      <c r="B289" s="670">
        <f>B288+1</f>
        <v>43</v>
      </c>
      <c r="C289" s="671" t="str">
        <f t="shared" ca="1" si="80"/>
        <v/>
      </c>
      <c r="D289" s="672" t="str">
        <f ca="1">IF(C289="","",Voorblad!$X$96)</f>
        <v/>
      </c>
    </row>
    <row r="290" spans="1:4" s="689" customFormat="1" x14ac:dyDescent="0.25">
      <c r="A290" s="669" t="str">
        <f t="shared" ref="A290:A291" si="111">A289</f>
        <v>H</v>
      </c>
      <c r="B290" s="670">
        <f t="shared" ref="B290:B291" si="112">B289+1</f>
        <v>44</v>
      </c>
      <c r="C290" s="671" t="str">
        <f t="shared" ca="1" si="80"/>
        <v/>
      </c>
      <c r="D290" s="672" t="str">
        <f ca="1">IF(C290="","",Voorblad!$X$97)</f>
        <v/>
      </c>
    </row>
    <row r="291" spans="1:4" s="689" customFormat="1" x14ac:dyDescent="0.25">
      <c r="A291" s="673" t="str">
        <f t="shared" si="111"/>
        <v>H</v>
      </c>
      <c r="B291" s="674">
        <f t="shared" si="112"/>
        <v>45</v>
      </c>
      <c r="C291" s="675" t="str">
        <f t="shared" ca="1" si="80"/>
        <v/>
      </c>
      <c r="D291" s="676" t="str">
        <f ca="1">IF(C291="","",Voorblad!X$98)</f>
        <v/>
      </c>
    </row>
    <row r="292" spans="1:4" s="689" customFormat="1" x14ac:dyDescent="0.25">
      <c r="A292" s="677" t="str">
        <f>CHAR(CODE(A260)+1)</f>
        <v>I</v>
      </c>
      <c r="B292" s="678">
        <v>7</v>
      </c>
      <c r="C292" s="679" t="str">
        <f t="shared" ca="1" si="80"/>
        <v/>
      </c>
      <c r="D292" s="680" t="str">
        <f ca="1">IF(C292="","",Voorblad!$X$67)</f>
        <v/>
      </c>
    </row>
    <row r="293" spans="1:4" s="689" customFormat="1" x14ac:dyDescent="0.25">
      <c r="A293" s="681" t="str">
        <f>A292</f>
        <v>I</v>
      </c>
      <c r="B293" s="682">
        <f>B292+1</f>
        <v>8</v>
      </c>
      <c r="C293" s="683" t="str">
        <f t="shared" ref="C293:C356" ca="1" si="113">IF(ISBLANK(INDIRECT(A293&amp;B293)),"",INDIRECT(A293&amp;B293))</f>
        <v/>
      </c>
      <c r="D293" s="684" t="str">
        <f ca="1">IF(C293="","",Voorblad!$X$68)</f>
        <v/>
      </c>
    </row>
    <row r="294" spans="1:4" s="689" customFormat="1" x14ac:dyDescent="0.25">
      <c r="A294" s="681" t="str">
        <f t="shared" ref="A294:A296" si="114">A293</f>
        <v>I</v>
      </c>
      <c r="B294" s="682">
        <f t="shared" ref="B294:B295" si="115">B293+1</f>
        <v>9</v>
      </c>
      <c r="C294" s="683" t="str">
        <f t="shared" ca="1" si="113"/>
        <v/>
      </c>
      <c r="D294" s="684" t="str">
        <f ca="1">IF(C294="","",Voorblad!$X$69)</f>
        <v/>
      </c>
    </row>
    <row r="295" spans="1:4" s="689" customFormat="1" x14ac:dyDescent="0.25">
      <c r="A295" s="681" t="str">
        <f t="shared" si="114"/>
        <v>I</v>
      </c>
      <c r="B295" s="682">
        <f t="shared" si="115"/>
        <v>10</v>
      </c>
      <c r="C295" s="683" t="str">
        <f t="shared" ca="1" si="113"/>
        <v/>
      </c>
      <c r="D295" s="684" t="str">
        <f ca="1">IF(C295="","",Voorblad!$X$70)</f>
        <v/>
      </c>
    </row>
    <row r="296" spans="1:4" s="689" customFormat="1" x14ac:dyDescent="0.25">
      <c r="A296" s="681" t="str">
        <f t="shared" si="114"/>
        <v>I</v>
      </c>
      <c r="B296" s="682">
        <f>B295+2</f>
        <v>12</v>
      </c>
      <c r="C296" s="683" t="str">
        <f t="shared" ca="1" si="113"/>
        <v/>
      </c>
      <c r="D296" s="684" t="str">
        <f ca="1">IF(C296="","",Voorblad!$X$71)</f>
        <v/>
      </c>
    </row>
    <row r="297" spans="1:4" s="689" customFormat="1" x14ac:dyDescent="0.25">
      <c r="A297" s="681" t="str">
        <f>A296</f>
        <v>I</v>
      </c>
      <c r="B297" s="682">
        <f>B296+1</f>
        <v>13</v>
      </c>
      <c r="C297" s="683" t="str">
        <f t="shared" ca="1" si="113"/>
        <v/>
      </c>
      <c r="D297" s="684" t="str">
        <f ca="1">IF(C297="","",Voorblad!$X$72)</f>
        <v/>
      </c>
    </row>
    <row r="298" spans="1:4" s="689" customFormat="1" x14ac:dyDescent="0.25">
      <c r="A298" s="681" t="str">
        <f t="shared" ref="A298:A300" si="116">A297</f>
        <v>I</v>
      </c>
      <c r="B298" s="682">
        <f t="shared" ref="B298:B299" si="117">B297+1</f>
        <v>14</v>
      </c>
      <c r="C298" s="683" t="str">
        <f t="shared" ca="1" si="113"/>
        <v/>
      </c>
      <c r="D298" s="684" t="str">
        <f ca="1">IF(C298="","",Voorblad!$X$73)</f>
        <v/>
      </c>
    </row>
    <row r="299" spans="1:4" s="689" customFormat="1" x14ac:dyDescent="0.25">
      <c r="A299" s="681" t="str">
        <f t="shared" si="116"/>
        <v>I</v>
      </c>
      <c r="B299" s="682">
        <f t="shared" si="117"/>
        <v>15</v>
      </c>
      <c r="C299" s="683" t="str">
        <f t="shared" ca="1" si="113"/>
        <v/>
      </c>
      <c r="D299" s="684" t="str">
        <f ca="1">IF(C299="","",Voorblad!$X$74)</f>
        <v/>
      </c>
    </row>
    <row r="300" spans="1:4" s="689" customFormat="1" x14ac:dyDescent="0.25">
      <c r="A300" s="681" t="str">
        <f t="shared" si="116"/>
        <v>I</v>
      </c>
      <c r="B300" s="682">
        <f>B299+2</f>
        <v>17</v>
      </c>
      <c r="C300" s="683" t="str">
        <f t="shared" ca="1" si="113"/>
        <v/>
      </c>
      <c r="D300" s="684" t="str">
        <f ca="1">IF(C300="","",Voorblad!$X$75)</f>
        <v/>
      </c>
    </row>
    <row r="301" spans="1:4" s="689" customFormat="1" x14ac:dyDescent="0.25">
      <c r="A301" s="681" t="str">
        <f>A300</f>
        <v>I</v>
      </c>
      <c r="B301" s="682">
        <f>B300+1</f>
        <v>18</v>
      </c>
      <c r="C301" s="683" t="str">
        <f t="shared" ca="1" si="113"/>
        <v/>
      </c>
      <c r="D301" s="684" t="str">
        <f ca="1">IF(C301="","",Voorblad!$X$76)</f>
        <v/>
      </c>
    </row>
    <row r="302" spans="1:4" s="689" customFormat="1" x14ac:dyDescent="0.25">
      <c r="A302" s="681" t="str">
        <f t="shared" ref="A302:A304" si="118">A301</f>
        <v>I</v>
      </c>
      <c r="B302" s="682">
        <f t="shared" ref="B302:B303" si="119">B301+1</f>
        <v>19</v>
      </c>
      <c r="C302" s="683" t="str">
        <f t="shared" ca="1" si="113"/>
        <v/>
      </c>
      <c r="D302" s="684" t="str">
        <f ca="1">IF(C302="","",Voorblad!$X$77)</f>
        <v/>
      </c>
    </row>
    <row r="303" spans="1:4" s="689" customFormat="1" x14ac:dyDescent="0.25">
      <c r="A303" s="681" t="str">
        <f t="shared" si="118"/>
        <v>I</v>
      </c>
      <c r="B303" s="682">
        <f t="shared" si="119"/>
        <v>20</v>
      </c>
      <c r="C303" s="683" t="str">
        <f t="shared" ca="1" si="113"/>
        <v/>
      </c>
      <c r="D303" s="684" t="str">
        <f ca="1">IF(C303="","",Voorblad!$X$78)</f>
        <v/>
      </c>
    </row>
    <row r="304" spans="1:4" s="689" customFormat="1" x14ac:dyDescent="0.25">
      <c r="A304" s="681" t="str">
        <f t="shared" si="118"/>
        <v>I</v>
      </c>
      <c r="B304" s="682">
        <f>B303+2</f>
        <v>22</v>
      </c>
      <c r="C304" s="683" t="str">
        <f t="shared" ca="1" si="113"/>
        <v/>
      </c>
      <c r="D304" s="684" t="str">
        <f ca="1">IF(C304="","",Voorblad!$X$79)</f>
        <v/>
      </c>
    </row>
    <row r="305" spans="1:4" s="689" customFormat="1" x14ac:dyDescent="0.25">
      <c r="A305" s="681" t="str">
        <f>A304</f>
        <v>I</v>
      </c>
      <c r="B305" s="682">
        <f>B304+1</f>
        <v>23</v>
      </c>
      <c r="C305" s="683" t="str">
        <f t="shared" ca="1" si="113"/>
        <v/>
      </c>
      <c r="D305" s="684" t="str">
        <f ca="1">IF(C305="","",Voorblad!$X$80)</f>
        <v/>
      </c>
    </row>
    <row r="306" spans="1:4" s="689" customFormat="1" x14ac:dyDescent="0.25">
      <c r="A306" s="681" t="str">
        <f t="shared" ref="A306:A308" si="120">A305</f>
        <v>I</v>
      </c>
      <c r="B306" s="682">
        <f t="shared" ref="B306:B307" si="121">B305+1</f>
        <v>24</v>
      </c>
      <c r="C306" s="683" t="str">
        <f t="shared" ca="1" si="113"/>
        <v/>
      </c>
      <c r="D306" s="684" t="str">
        <f ca="1">IF(C306="","",Voorblad!$X$81)</f>
        <v/>
      </c>
    </row>
    <row r="307" spans="1:4" s="689" customFormat="1" x14ac:dyDescent="0.25">
      <c r="A307" s="681" t="str">
        <f t="shared" si="120"/>
        <v>I</v>
      </c>
      <c r="B307" s="682">
        <f t="shared" si="121"/>
        <v>25</v>
      </c>
      <c r="C307" s="683" t="str">
        <f t="shared" ca="1" si="113"/>
        <v/>
      </c>
      <c r="D307" s="684" t="str">
        <f ca="1">IF(C307="","",Voorblad!$X$82)</f>
        <v/>
      </c>
    </row>
    <row r="308" spans="1:4" s="689" customFormat="1" x14ac:dyDescent="0.25">
      <c r="A308" s="681" t="str">
        <f t="shared" si="120"/>
        <v>I</v>
      </c>
      <c r="B308" s="682">
        <f>B307+2</f>
        <v>27</v>
      </c>
      <c r="C308" s="683" t="str">
        <f t="shared" ca="1" si="113"/>
        <v/>
      </c>
      <c r="D308" s="684" t="str">
        <f ca="1">IF(C308="","",Voorblad!$X$83)</f>
        <v/>
      </c>
    </row>
    <row r="309" spans="1:4" x14ac:dyDescent="0.25">
      <c r="A309" s="681" t="str">
        <f>A308</f>
        <v>I</v>
      </c>
      <c r="B309" s="682">
        <f>B308+1</f>
        <v>28</v>
      </c>
      <c r="C309" s="683" t="str">
        <f t="shared" ca="1" si="113"/>
        <v/>
      </c>
      <c r="D309" s="684" t="str">
        <f ca="1">IF(C309="","",Voorblad!$X$84)</f>
        <v/>
      </c>
    </row>
    <row r="310" spans="1:4" x14ac:dyDescent="0.25">
      <c r="A310" s="681" t="str">
        <f t="shared" ref="A310:A312" si="122">A309</f>
        <v>I</v>
      </c>
      <c r="B310" s="682">
        <f t="shared" ref="B310:B311" si="123">B309+1</f>
        <v>29</v>
      </c>
      <c r="C310" s="683" t="str">
        <f t="shared" ca="1" si="113"/>
        <v/>
      </c>
      <c r="D310" s="684" t="str">
        <f ca="1">IF(C310="","",Voorblad!$X$85)</f>
        <v/>
      </c>
    </row>
    <row r="311" spans="1:4" x14ac:dyDescent="0.25">
      <c r="A311" s="681" t="str">
        <f t="shared" si="122"/>
        <v>I</v>
      </c>
      <c r="B311" s="682">
        <f t="shared" si="123"/>
        <v>30</v>
      </c>
      <c r="C311" s="683" t="str">
        <f t="shared" ca="1" si="113"/>
        <v/>
      </c>
      <c r="D311" s="684" t="str">
        <f ca="1">IF(C311="","",Voorblad!$X$86)</f>
        <v/>
      </c>
    </row>
    <row r="312" spans="1:4" x14ac:dyDescent="0.25">
      <c r="A312" s="681" t="str">
        <f t="shared" si="122"/>
        <v>I</v>
      </c>
      <c r="B312" s="682">
        <f>B311+2</f>
        <v>32</v>
      </c>
      <c r="C312" s="683" t="str">
        <f t="shared" ca="1" si="113"/>
        <v/>
      </c>
      <c r="D312" s="684" t="str">
        <f ca="1">IF(C312="","",Voorblad!$X$87)</f>
        <v/>
      </c>
    </row>
    <row r="313" spans="1:4" x14ac:dyDescent="0.25">
      <c r="A313" s="681" t="str">
        <f>A312</f>
        <v>I</v>
      </c>
      <c r="B313" s="682">
        <f>B312+1</f>
        <v>33</v>
      </c>
      <c r="C313" s="683" t="str">
        <f t="shared" ca="1" si="113"/>
        <v/>
      </c>
      <c r="D313" s="684" t="str">
        <f ca="1">IF(C313="","",Voorblad!$X$88)</f>
        <v/>
      </c>
    </row>
    <row r="314" spans="1:4" x14ac:dyDescent="0.25">
      <c r="A314" s="681" t="str">
        <f t="shared" ref="A314:A316" si="124">A313</f>
        <v>I</v>
      </c>
      <c r="B314" s="682">
        <f t="shared" ref="B314:B315" si="125">B313+1</f>
        <v>34</v>
      </c>
      <c r="C314" s="683" t="str">
        <f t="shared" ca="1" si="113"/>
        <v/>
      </c>
      <c r="D314" s="684" t="str">
        <f ca="1">IF(C314="","",Voorblad!$X$89)</f>
        <v/>
      </c>
    </row>
    <row r="315" spans="1:4" x14ac:dyDescent="0.25">
      <c r="A315" s="681" t="str">
        <f t="shared" si="124"/>
        <v>I</v>
      </c>
      <c r="B315" s="682">
        <f t="shared" si="125"/>
        <v>35</v>
      </c>
      <c r="C315" s="683" t="str">
        <f t="shared" ca="1" si="113"/>
        <v/>
      </c>
      <c r="D315" s="684" t="str">
        <f ca="1">IF(C315="","",Voorblad!$X$90)</f>
        <v/>
      </c>
    </row>
    <row r="316" spans="1:4" x14ac:dyDescent="0.25">
      <c r="A316" s="681" t="str">
        <f t="shared" si="124"/>
        <v>I</v>
      </c>
      <c r="B316" s="682">
        <f>B315+2</f>
        <v>37</v>
      </c>
      <c r="C316" s="683" t="str">
        <f t="shared" ca="1" si="113"/>
        <v/>
      </c>
      <c r="D316" s="684" t="str">
        <f ca="1">IF(C316="","",Voorblad!$X$91)</f>
        <v/>
      </c>
    </row>
    <row r="317" spans="1:4" x14ac:dyDescent="0.25">
      <c r="A317" s="681" t="str">
        <f>A316</f>
        <v>I</v>
      </c>
      <c r="B317" s="682">
        <f>B316+1</f>
        <v>38</v>
      </c>
      <c r="C317" s="683" t="str">
        <f t="shared" ca="1" si="113"/>
        <v/>
      </c>
      <c r="D317" s="684" t="str">
        <f ca="1">IF(C317="","",Voorblad!$X$92)</f>
        <v/>
      </c>
    </row>
    <row r="318" spans="1:4" x14ac:dyDescent="0.25">
      <c r="A318" s="681" t="str">
        <f t="shared" ref="A318:A320" si="126">A317</f>
        <v>I</v>
      </c>
      <c r="B318" s="682">
        <f t="shared" ref="B318:B319" si="127">B317+1</f>
        <v>39</v>
      </c>
      <c r="C318" s="683" t="str">
        <f t="shared" ca="1" si="113"/>
        <v/>
      </c>
      <c r="D318" s="684" t="str">
        <f ca="1">IF(C318="","",Voorblad!$X$93)</f>
        <v/>
      </c>
    </row>
    <row r="319" spans="1:4" x14ac:dyDescent="0.25">
      <c r="A319" s="681" t="str">
        <f t="shared" si="126"/>
        <v>I</v>
      </c>
      <c r="B319" s="682">
        <f t="shared" si="127"/>
        <v>40</v>
      </c>
      <c r="C319" s="683" t="str">
        <f t="shared" ca="1" si="113"/>
        <v/>
      </c>
      <c r="D319" s="684" t="str">
        <f ca="1">IF(C319="","",Voorblad!$X$94)</f>
        <v/>
      </c>
    </row>
    <row r="320" spans="1:4" x14ac:dyDescent="0.25">
      <c r="A320" s="681" t="str">
        <f t="shared" si="126"/>
        <v>I</v>
      </c>
      <c r="B320" s="682">
        <f>B319+2</f>
        <v>42</v>
      </c>
      <c r="C320" s="683" t="str">
        <f t="shared" ca="1" si="113"/>
        <v/>
      </c>
      <c r="D320" s="684" t="str">
        <f ca="1">IF(C320="","",Voorblad!$X$95)</f>
        <v/>
      </c>
    </row>
    <row r="321" spans="1:4" x14ac:dyDescent="0.25">
      <c r="A321" s="681" t="str">
        <f>A320</f>
        <v>I</v>
      </c>
      <c r="B321" s="682">
        <f>B320+1</f>
        <v>43</v>
      </c>
      <c r="C321" s="683" t="str">
        <f t="shared" ca="1" si="113"/>
        <v/>
      </c>
      <c r="D321" s="684" t="str">
        <f ca="1">IF(C321="","",Voorblad!$X$96)</f>
        <v/>
      </c>
    </row>
    <row r="322" spans="1:4" x14ac:dyDescent="0.25">
      <c r="A322" s="681" t="str">
        <f t="shared" ref="A322:A323" si="128">A321</f>
        <v>I</v>
      </c>
      <c r="B322" s="682">
        <f t="shared" ref="B322:B323" si="129">B321+1</f>
        <v>44</v>
      </c>
      <c r="C322" s="683" t="str">
        <f t="shared" ca="1" si="113"/>
        <v/>
      </c>
      <c r="D322" s="684" t="str">
        <f ca="1">IF(C322="","",Voorblad!$X$97)</f>
        <v/>
      </c>
    </row>
    <row r="323" spans="1:4" x14ac:dyDescent="0.25">
      <c r="A323" s="685" t="str">
        <f t="shared" si="128"/>
        <v>I</v>
      </c>
      <c r="B323" s="686">
        <f t="shared" si="129"/>
        <v>45</v>
      </c>
      <c r="C323" s="687" t="str">
        <f t="shared" ca="1" si="113"/>
        <v/>
      </c>
      <c r="D323" s="688" t="str">
        <f ca="1">IF(C323="","",Voorblad!X$98)</f>
        <v/>
      </c>
    </row>
    <row r="324" spans="1:4" x14ac:dyDescent="0.25">
      <c r="A324" s="665" t="str">
        <f>CHAR(CODE(A292)+1)</f>
        <v>J</v>
      </c>
      <c r="B324" s="666">
        <v>7</v>
      </c>
      <c r="C324" s="667" t="str">
        <f t="shared" ca="1" si="113"/>
        <v/>
      </c>
      <c r="D324" s="668" t="str">
        <f ca="1">IF(C324="","",Voorblad!$X$67)</f>
        <v/>
      </c>
    </row>
    <row r="325" spans="1:4" x14ac:dyDescent="0.25">
      <c r="A325" s="669" t="str">
        <f>A324</f>
        <v>J</v>
      </c>
      <c r="B325" s="670">
        <f>B324+1</f>
        <v>8</v>
      </c>
      <c r="C325" s="671" t="str">
        <f t="shared" ca="1" si="113"/>
        <v/>
      </c>
      <c r="D325" s="672" t="str">
        <f ca="1">IF(C325="","",Voorblad!$X$68)</f>
        <v/>
      </c>
    </row>
    <row r="326" spans="1:4" x14ac:dyDescent="0.25">
      <c r="A326" s="669" t="str">
        <f t="shared" ref="A326:A328" si="130">A325</f>
        <v>J</v>
      </c>
      <c r="B326" s="670">
        <f t="shared" ref="B326:B327" si="131">B325+1</f>
        <v>9</v>
      </c>
      <c r="C326" s="671" t="str">
        <f t="shared" ca="1" si="113"/>
        <v/>
      </c>
      <c r="D326" s="672" t="str">
        <f ca="1">IF(C326="","",Voorblad!$X$69)</f>
        <v/>
      </c>
    </row>
    <row r="327" spans="1:4" x14ac:dyDescent="0.25">
      <c r="A327" s="669" t="str">
        <f t="shared" si="130"/>
        <v>J</v>
      </c>
      <c r="B327" s="670">
        <f t="shared" si="131"/>
        <v>10</v>
      </c>
      <c r="C327" s="671" t="str">
        <f t="shared" ca="1" si="113"/>
        <v/>
      </c>
      <c r="D327" s="672" t="str">
        <f ca="1">IF(C327="","",Voorblad!$X$70)</f>
        <v/>
      </c>
    </row>
    <row r="328" spans="1:4" x14ac:dyDescent="0.25">
      <c r="A328" s="669" t="str">
        <f t="shared" si="130"/>
        <v>J</v>
      </c>
      <c r="B328" s="670">
        <f>B327+2</f>
        <v>12</v>
      </c>
      <c r="C328" s="671" t="str">
        <f t="shared" ca="1" si="113"/>
        <v/>
      </c>
      <c r="D328" s="672" t="str">
        <f ca="1">IF(C328="","",Voorblad!$X$71)</f>
        <v/>
      </c>
    </row>
    <row r="329" spans="1:4" x14ac:dyDescent="0.25">
      <c r="A329" s="669" t="str">
        <f>A328</f>
        <v>J</v>
      </c>
      <c r="B329" s="670">
        <f>B328+1</f>
        <v>13</v>
      </c>
      <c r="C329" s="671" t="str">
        <f t="shared" ca="1" si="113"/>
        <v/>
      </c>
      <c r="D329" s="672" t="str">
        <f ca="1">IF(C329="","",Voorblad!$X$72)</f>
        <v/>
      </c>
    </row>
    <row r="330" spans="1:4" x14ac:dyDescent="0.25">
      <c r="A330" s="669" t="str">
        <f t="shared" ref="A330:A332" si="132">A329</f>
        <v>J</v>
      </c>
      <c r="B330" s="670">
        <f t="shared" ref="B330:B331" si="133">B329+1</f>
        <v>14</v>
      </c>
      <c r="C330" s="671" t="str">
        <f t="shared" ca="1" si="113"/>
        <v/>
      </c>
      <c r="D330" s="672" t="str">
        <f ca="1">IF(C330="","",Voorblad!$X$73)</f>
        <v/>
      </c>
    </row>
    <row r="331" spans="1:4" x14ac:dyDescent="0.25">
      <c r="A331" s="669" t="str">
        <f t="shared" si="132"/>
        <v>J</v>
      </c>
      <c r="B331" s="670">
        <f t="shared" si="133"/>
        <v>15</v>
      </c>
      <c r="C331" s="671" t="str">
        <f t="shared" ca="1" si="113"/>
        <v/>
      </c>
      <c r="D331" s="672" t="str">
        <f ca="1">IF(C331="","",Voorblad!$X$74)</f>
        <v/>
      </c>
    </row>
    <row r="332" spans="1:4" x14ac:dyDescent="0.25">
      <c r="A332" s="669" t="str">
        <f t="shared" si="132"/>
        <v>J</v>
      </c>
      <c r="B332" s="670">
        <f>B331+2</f>
        <v>17</v>
      </c>
      <c r="C332" s="671" t="str">
        <f t="shared" ca="1" si="113"/>
        <v/>
      </c>
      <c r="D332" s="672" t="str">
        <f ca="1">IF(C332="","",Voorblad!$X$75)</f>
        <v/>
      </c>
    </row>
    <row r="333" spans="1:4" x14ac:dyDescent="0.25">
      <c r="A333" s="669" t="str">
        <f>A332</f>
        <v>J</v>
      </c>
      <c r="B333" s="670">
        <f>B332+1</f>
        <v>18</v>
      </c>
      <c r="C333" s="671" t="str">
        <f t="shared" ca="1" si="113"/>
        <v/>
      </c>
      <c r="D333" s="672" t="str">
        <f ca="1">IF(C333="","",Voorblad!$X$76)</f>
        <v/>
      </c>
    </row>
    <row r="334" spans="1:4" x14ac:dyDescent="0.25">
      <c r="A334" s="669" t="str">
        <f t="shared" ref="A334:A336" si="134">A333</f>
        <v>J</v>
      </c>
      <c r="B334" s="670">
        <f t="shared" ref="B334:B335" si="135">B333+1</f>
        <v>19</v>
      </c>
      <c r="C334" s="671" t="str">
        <f t="shared" ca="1" si="113"/>
        <v/>
      </c>
      <c r="D334" s="672" t="str">
        <f ca="1">IF(C334="","",Voorblad!$X$77)</f>
        <v/>
      </c>
    </row>
    <row r="335" spans="1:4" x14ac:dyDescent="0.25">
      <c r="A335" s="669" t="str">
        <f t="shared" si="134"/>
        <v>J</v>
      </c>
      <c r="B335" s="670">
        <f t="shared" si="135"/>
        <v>20</v>
      </c>
      <c r="C335" s="671" t="str">
        <f t="shared" ca="1" si="113"/>
        <v/>
      </c>
      <c r="D335" s="672" t="str">
        <f ca="1">IF(C335="","",Voorblad!$X$78)</f>
        <v/>
      </c>
    </row>
    <row r="336" spans="1:4" x14ac:dyDescent="0.25">
      <c r="A336" s="669" t="str">
        <f t="shared" si="134"/>
        <v>J</v>
      </c>
      <c r="B336" s="670">
        <f>B335+2</f>
        <v>22</v>
      </c>
      <c r="C336" s="671" t="str">
        <f t="shared" ca="1" si="113"/>
        <v/>
      </c>
      <c r="D336" s="672" t="str">
        <f ca="1">IF(C336="","",Voorblad!$X$79)</f>
        <v/>
      </c>
    </row>
    <row r="337" spans="1:4" x14ac:dyDescent="0.25">
      <c r="A337" s="669" t="str">
        <f>A336</f>
        <v>J</v>
      </c>
      <c r="B337" s="670">
        <f>B336+1</f>
        <v>23</v>
      </c>
      <c r="C337" s="671" t="str">
        <f t="shared" ca="1" si="113"/>
        <v/>
      </c>
      <c r="D337" s="672" t="str">
        <f ca="1">IF(C337="","",Voorblad!$X$80)</f>
        <v/>
      </c>
    </row>
    <row r="338" spans="1:4" x14ac:dyDescent="0.25">
      <c r="A338" s="669" t="str">
        <f t="shared" ref="A338:A340" si="136">A337</f>
        <v>J</v>
      </c>
      <c r="B338" s="670">
        <f t="shared" ref="B338:B339" si="137">B337+1</f>
        <v>24</v>
      </c>
      <c r="C338" s="671" t="str">
        <f t="shared" ca="1" si="113"/>
        <v/>
      </c>
      <c r="D338" s="672" t="str">
        <f ca="1">IF(C338="","",Voorblad!$X$81)</f>
        <v/>
      </c>
    </row>
    <row r="339" spans="1:4" x14ac:dyDescent="0.25">
      <c r="A339" s="669" t="str">
        <f t="shared" si="136"/>
        <v>J</v>
      </c>
      <c r="B339" s="670">
        <f t="shared" si="137"/>
        <v>25</v>
      </c>
      <c r="C339" s="671" t="str">
        <f t="shared" ca="1" si="113"/>
        <v/>
      </c>
      <c r="D339" s="672" t="str">
        <f ca="1">IF(C339="","",Voorblad!$X$82)</f>
        <v/>
      </c>
    </row>
    <row r="340" spans="1:4" x14ac:dyDescent="0.25">
      <c r="A340" s="669" t="str">
        <f t="shared" si="136"/>
        <v>J</v>
      </c>
      <c r="B340" s="670">
        <f>B339+2</f>
        <v>27</v>
      </c>
      <c r="C340" s="671" t="str">
        <f t="shared" ca="1" si="113"/>
        <v/>
      </c>
      <c r="D340" s="672" t="str">
        <f ca="1">IF(C340="","",Voorblad!$X$83)</f>
        <v/>
      </c>
    </row>
    <row r="341" spans="1:4" x14ac:dyDescent="0.25">
      <c r="A341" s="669" t="str">
        <f>A340</f>
        <v>J</v>
      </c>
      <c r="B341" s="670">
        <f>B340+1</f>
        <v>28</v>
      </c>
      <c r="C341" s="671" t="str">
        <f t="shared" ca="1" si="113"/>
        <v/>
      </c>
      <c r="D341" s="672" t="str">
        <f ca="1">IF(C341="","",Voorblad!$X$84)</f>
        <v/>
      </c>
    </row>
    <row r="342" spans="1:4" x14ac:dyDescent="0.25">
      <c r="A342" s="669" t="str">
        <f t="shared" ref="A342:A344" si="138">A341</f>
        <v>J</v>
      </c>
      <c r="B342" s="670">
        <f t="shared" ref="B342:B343" si="139">B341+1</f>
        <v>29</v>
      </c>
      <c r="C342" s="671" t="str">
        <f t="shared" ca="1" si="113"/>
        <v/>
      </c>
      <c r="D342" s="672" t="str">
        <f ca="1">IF(C342="","",Voorblad!$X$85)</f>
        <v/>
      </c>
    </row>
    <row r="343" spans="1:4" x14ac:dyDescent="0.25">
      <c r="A343" s="669" t="str">
        <f t="shared" si="138"/>
        <v>J</v>
      </c>
      <c r="B343" s="670">
        <f t="shared" si="139"/>
        <v>30</v>
      </c>
      <c r="C343" s="671" t="str">
        <f t="shared" ca="1" si="113"/>
        <v/>
      </c>
      <c r="D343" s="672" t="str">
        <f ca="1">IF(C343="","",Voorblad!$X$86)</f>
        <v/>
      </c>
    </row>
    <row r="344" spans="1:4" x14ac:dyDescent="0.25">
      <c r="A344" s="669" t="str">
        <f t="shared" si="138"/>
        <v>J</v>
      </c>
      <c r="B344" s="670">
        <f>B343+2</f>
        <v>32</v>
      </c>
      <c r="C344" s="671" t="str">
        <f t="shared" ca="1" si="113"/>
        <v/>
      </c>
      <c r="D344" s="672" t="str">
        <f ca="1">IF(C344="","",Voorblad!$X$87)</f>
        <v/>
      </c>
    </row>
    <row r="345" spans="1:4" x14ac:dyDescent="0.25">
      <c r="A345" s="669" t="str">
        <f>A344</f>
        <v>J</v>
      </c>
      <c r="B345" s="670">
        <f>B344+1</f>
        <v>33</v>
      </c>
      <c r="C345" s="671" t="str">
        <f t="shared" ca="1" si="113"/>
        <v/>
      </c>
      <c r="D345" s="672" t="str">
        <f ca="1">IF(C345="","",Voorblad!$X$88)</f>
        <v/>
      </c>
    </row>
    <row r="346" spans="1:4" x14ac:dyDescent="0.25">
      <c r="A346" s="669" t="str">
        <f t="shared" ref="A346:A348" si="140">A345</f>
        <v>J</v>
      </c>
      <c r="B346" s="670">
        <f t="shared" ref="B346:B347" si="141">B345+1</f>
        <v>34</v>
      </c>
      <c r="C346" s="671" t="str">
        <f t="shared" ca="1" si="113"/>
        <v/>
      </c>
      <c r="D346" s="672" t="str">
        <f ca="1">IF(C346="","",Voorblad!$X$89)</f>
        <v/>
      </c>
    </row>
    <row r="347" spans="1:4" x14ac:dyDescent="0.25">
      <c r="A347" s="669" t="str">
        <f t="shared" si="140"/>
        <v>J</v>
      </c>
      <c r="B347" s="670">
        <f t="shared" si="141"/>
        <v>35</v>
      </c>
      <c r="C347" s="671" t="str">
        <f t="shared" ca="1" si="113"/>
        <v/>
      </c>
      <c r="D347" s="672" t="str">
        <f ca="1">IF(C347="","",Voorblad!$X$90)</f>
        <v/>
      </c>
    </row>
    <row r="348" spans="1:4" x14ac:dyDescent="0.25">
      <c r="A348" s="669" t="str">
        <f t="shared" si="140"/>
        <v>J</v>
      </c>
      <c r="B348" s="670">
        <f>B347+2</f>
        <v>37</v>
      </c>
      <c r="C348" s="671" t="str">
        <f t="shared" ca="1" si="113"/>
        <v/>
      </c>
      <c r="D348" s="672" t="str">
        <f ca="1">IF(C348="","",Voorblad!$X$91)</f>
        <v/>
      </c>
    </row>
    <row r="349" spans="1:4" x14ac:dyDescent="0.25">
      <c r="A349" s="669" t="str">
        <f>A348</f>
        <v>J</v>
      </c>
      <c r="B349" s="670">
        <f>B348+1</f>
        <v>38</v>
      </c>
      <c r="C349" s="671" t="str">
        <f t="shared" ca="1" si="113"/>
        <v/>
      </c>
      <c r="D349" s="672" t="str">
        <f ca="1">IF(C349="","",Voorblad!$X$92)</f>
        <v/>
      </c>
    </row>
    <row r="350" spans="1:4" x14ac:dyDescent="0.25">
      <c r="A350" s="669" t="str">
        <f t="shared" ref="A350:A352" si="142">A349</f>
        <v>J</v>
      </c>
      <c r="B350" s="670">
        <f t="shared" ref="B350:B351" si="143">B349+1</f>
        <v>39</v>
      </c>
      <c r="C350" s="671" t="str">
        <f t="shared" ca="1" si="113"/>
        <v/>
      </c>
      <c r="D350" s="672" t="str">
        <f ca="1">IF(C350="","",Voorblad!$X$93)</f>
        <v/>
      </c>
    </row>
    <row r="351" spans="1:4" x14ac:dyDescent="0.25">
      <c r="A351" s="669" t="str">
        <f t="shared" si="142"/>
        <v>J</v>
      </c>
      <c r="B351" s="670">
        <f t="shared" si="143"/>
        <v>40</v>
      </c>
      <c r="C351" s="671" t="str">
        <f t="shared" ca="1" si="113"/>
        <v/>
      </c>
      <c r="D351" s="672" t="str">
        <f ca="1">IF(C351="","",Voorblad!$X$94)</f>
        <v/>
      </c>
    </row>
    <row r="352" spans="1:4" x14ac:dyDescent="0.25">
      <c r="A352" s="669" t="str">
        <f t="shared" si="142"/>
        <v>J</v>
      </c>
      <c r="B352" s="670">
        <f>B351+2</f>
        <v>42</v>
      </c>
      <c r="C352" s="671" t="str">
        <f t="shared" ca="1" si="113"/>
        <v/>
      </c>
      <c r="D352" s="672" t="str">
        <f ca="1">IF(C352="","",Voorblad!$X$95)</f>
        <v/>
      </c>
    </row>
    <row r="353" spans="1:4" x14ac:dyDescent="0.25">
      <c r="A353" s="669" t="str">
        <f>A352</f>
        <v>J</v>
      </c>
      <c r="B353" s="670">
        <f>B352+1</f>
        <v>43</v>
      </c>
      <c r="C353" s="671" t="str">
        <f t="shared" ca="1" si="113"/>
        <v/>
      </c>
      <c r="D353" s="672" t="str">
        <f ca="1">IF(C353="","",Voorblad!$X$96)</f>
        <v/>
      </c>
    </row>
    <row r="354" spans="1:4" x14ac:dyDescent="0.25">
      <c r="A354" s="669" t="str">
        <f t="shared" ref="A354:A355" si="144">A353</f>
        <v>J</v>
      </c>
      <c r="B354" s="670">
        <f t="shared" ref="B354:B355" si="145">B353+1</f>
        <v>44</v>
      </c>
      <c r="C354" s="671" t="str">
        <f t="shared" ca="1" si="113"/>
        <v/>
      </c>
      <c r="D354" s="672" t="str">
        <f ca="1">IF(C354="","",Voorblad!$X$97)</f>
        <v/>
      </c>
    </row>
    <row r="355" spans="1:4" x14ac:dyDescent="0.25">
      <c r="A355" s="673" t="str">
        <f t="shared" si="144"/>
        <v>J</v>
      </c>
      <c r="B355" s="674">
        <f t="shared" si="145"/>
        <v>45</v>
      </c>
      <c r="C355" s="675" t="str">
        <f t="shared" ca="1" si="113"/>
        <v/>
      </c>
      <c r="D355" s="676" t="str">
        <f ca="1">IF(C355="","",Voorblad!X$98)</f>
        <v/>
      </c>
    </row>
    <row r="356" spans="1:4" x14ac:dyDescent="0.25">
      <c r="A356" s="677" t="str">
        <f>CHAR(CODE(A324)+1)</f>
        <v>K</v>
      </c>
      <c r="B356" s="678">
        <v>7</v>
      </c>
      <c r="C356" s="679" t="str">
        <f t="shared" ca="1" si="113"/>
        <v/>
      </c>
      <c r="D356" s="680" t="str">
        <f ca="1">IF(C356="","",Voorblad!$X$67)</f>
        <v/>
      </c>
    </row>
    <row r="357" spans="1:4" x14ac:dyDescent="0.25">
      <c r="A357" s="681" t="str">
        <f>A356</f>
        <v>K</v>
      </c>
      <c r="B357" s="682">
        <f>B356+1</f>
        <v>8</v>
      </c>
      <c r="C357" s="683" t="str">
        <f t="shared" ref="C357:C419" ca="1" si="146">IF(ISBLANK(INDIRECT(A357&amp;B357)),"",INDIRECT(A357&amp;B357))</f>
        <v/>
      </c>
      <c r="D357" s="684" t="str">
        <f ca="1">IF(C357="","",Voorblad!$X$68)</f>
        <v/>
      </c>
    </row>
    <row r="358" spans="1:4" x14ac:dyDescent="0.25">
      <c r="A358" s="681" t="str">
        <f t="shared" ref="A358:A360" si="147">A357</f>
        <v>K</v>
      </c>
      <c r="B358" s="682">
        <f t="shared" ref="B358:B359" si="148">B357+1</f>
        <v>9</v>
      </c>
      <c r="C358" s="683" t="str">
        <f t="shared" ca="1" si="146"/>
        <v/>
      </c>
      <c r="D358" s="684" t="str">
        <f ca="1">IF(C358="","",Voorblad!$X$69)</f>
        <v/>
      </c>
    </row>
    <row r="359" spans="1:4" x14ac:dyDescent="0.25">
      <c r="A359" s="681" t="str">
        <f t="shared" si="147"/>
        <v>K</v>
      </c>
      <c r="B359" s="682">
        <f t="shared" si="148"/>
        <v>10</v>
      </c>
      <c r="C359" s="683" t="str">
        <f t="shared" ca="1" si="146"/>
        <v/>
      </c>
      <c r="D359" s="684" t="str">
        <f ca="1">IF(C359="","",Voorblad!$X$70)</f>
        <v/>
      </c>
    </row>
    <row r="360" spans="1:4" x14ac:dyDescent="0.25">
      <c r="A360" s="681" t="str">
        <f t="shared" si="147"/>
        <v>K</v>
      </c>
      <c r="B360" s="682">
        <f>B359+2</f>
        <v>12</v>
      </c>
      <c r="C360" s="683" t="str">
        <f t="shared" ca="1" si="146"/>
        <v/>
      </c>
      <c r="D360" s="684" t="str">
        <f ca="1">IF(C360="","",Voorblad!$X$71)</f>
        <v/>
      </c>
    </row>
    <row r="361" spans="1:4" x14ac:dyDescent="0.25">
      <c r="A361" s="681" t="str">
        <f>A360</f>
        <v>K</v>
      </c>
      <c r="B361" s="682">
        <f>B360+1</f>
        <v>13</v>
      </c>
      <c r="C361" s="683" t="str">
        <f t="shared" ca="1" si="146"/>
        <v/>
      </c>
      <c r="D361" s="684" t="str">
        <f ca="1">IF(C361="","",Voorblad!$X$72)</f>
        <v/>
      </c>
    </row>
    <row r="362" spans="1:4" x14ac:dyDescent="0.25">
      <c r="A362" s="681" t="str">
        <f t="shared" ref="A362:A364" si="149">A361</f>
        <v>K</v>
      </c>
      <c r="B362" s="682">
        <f t="shared" ref="B362:B363" si="150">B361+1</f>
        <v>14</v>
      </c>
      <c r="C362" s="683" t="str">
        <f t="shared" ca="1" si="146"/>
        <v/>
      </c>
      <c r="D362" s="684" t="str">
        <f ca="1">IF(C362="","",Voorblad!$X$73)</f>
        <v/>
      </c>
    </row>
    <row r="363" spans="1:4" x14ac:dyDescent="0.25">
      <c r="A363" s="681" t="str">
        <f t="shared" si="149"/>
        <v>K</v>
      </c>
      <c r="B363" s="682">
        <f t="shared" si="150"/>
        <v>15</v>
      </c>
      <c r="C363" s="683" t="str">
        <f t="shared" ca="1" si="146"/>
        <v/>
      </c>
      <c r="D363" s="684" t="str">
        <f ca="1">IF(C363="","",Voorblad!$X$74)</f>
        <v/>
      </c>
    </row>
    <row r="364" spans="1:4" x14ac:dyDescent="0.25">
      <c r="A364" s="681" t="str">
        <f t="shared" si="149"/>
        <v>K</v>
      </c>
      <c r="B364" s="682">
        <f>B363+2</f>
        <v>17</v>
      </c>
      <c r="C364" s="683" t="str">
        <f t="shared" ca="1" si="146"/>
        <v/>
      </c>
      <c r="D364" s="684" t="str">
        <f ca="1">IF(C364="","",Voorblad!$X$75)</f>
        <v/>
      </c>
    </row>
    <row r="365" spans="1:4" x14ac:dyDescent="0.25">
      <c r="A365" s="681" t="str">
        <f>A364</f>
        <v>K</v>
      </c>
      <c r="B365" s="682">
        <f>B364+1</f>
        <v>18</v>
      </c>
      <c r="C365" s="683" t="str">
        <f t="shared" ca="1" si="146"/>
        <v/>
      </c>
      <c r="D365" s="684" t="str">
        <f ca="1">IF(C365="","",Voorblad!$X$76)</f>
        <v/>
      </c>
    </row>
    <row r="366" spans="1:4" x14ac:dyDescent="0.25">
      <c r="A366" s="681" t="str">
        <f t="shared" ref="A366:A368" si="151">A365</f>
        <v>K</v>
      </c>
      <c r="B366" s="682">
        <f t="shared" ref="B366:B367" si="152">B365+1</f>
        <v>19</v>
      </c>
      <c r="C366" s="683" t="str">
        <f t="shared" ca="1" si="146"/>
        <v/>
      </c>
      <c r="D366" s="684" t="str">
        <f ca="1">IF(C366="","",Voorblad!$X$77)</f>
        <v/>
      </c>
    </row>
    <row r="367" spans="1:4" x14ac:dyDescent="0.25">
      <c r="A367" s="681" t="str">
        <f t="shared" si="151"/>
        <v>K</v>
      </c>
      <c r="B367" s="682">
        <f t="shared" si="152"/>
        <v>20</v>
      </c>
      <c r="C367" s="683" t="str">
        <f t="shared" ca="1" si="146"/>
        <v/>
      </c>
      <c r="D367" s="684" t="str">
        <f ca="1">IF(C367="","",Voorblad!$X$78)</f>
        <v/>
      </c>
    </row>
    <row r="368" spans="1:4" x14ac:dyDescent="0.25">
      <c r="A368" s="681" t="str">
        <f t="shared" si="151"/>
        <v>K</v>
      </c>
      <c r="B368" s="682">
        <f>B367+2</f>
        <v>22</v>
      </c>
      <c r="C368" s="683" t="str">
        <f t="shared" ca="1" si="146"/>
        <v/>
      </c>
      <c r="D368" s="684" t="str">
        <f ca="1">IF(C368="","",Voorblad!$X$79)</f>
        <v/>
      </c>
    </row>
    <row r="369" spans="1:4" x14ac:dyDescent="0.25">
      <c r="A369" s="681" t="str">
        <f>A368</f>
        <v>K</v>
      </c>
      <c r="B369" s="682">
        <f>B368+1</f>
        <v>23</v>
      </c>
      <c r="C369" s="683" t="str">
        <f t="shared" ca="1" si="146"/>
        <v/>
      </c>
      <c r="D369" s="684" t="str">
        <f ca="1">IF(C369="","",Voorblad!$X$80)</f>
        <v/>
      </c>
    </row>
    <row r="370" spans="1:4" x14ac:dyDescent="0.25">
      <c r="A370" s="681" t="str">
        <f t="shared" ref="A370:A372" si="153">A369</f>
        <v>K</v>
      </c>
      <c r="B370" s="682">
        <f t="shared" ref="B370:B371" si="154">B369+1</f>
        <v>24</v>
      </c>
      <c r="C370" s="683" t="str">
        <f t="shared" ca="1" si="146"/>
        <v/>
      </c>
      <c r="D370" s="684" t="str">
        <f ca="1">IF(C370="","",Voorblad!$X$81)</f>
        <v/>
      </c>
    </row>
    <row r="371" spans="1:4" x14ac:dyDescent="0.25">
      <c r="A371" s="681" t="str">
        <f t="shared" si="153"/>
        <v>K</v>
      </c>
      <c r="B371" s="682">
        <f t="shared" si="154"/>
        <v>25</v>
      </c>
      <c r="C371" s="683" t="str">
        <f t="shared" ca="1" si="146"/>
        <v/>
      </c>
      <c r="D371" s="684" t="str">
        <f ca="1">IF(C371="","",Voorblad!$X$82)</f>
        <v/>
      </c>
    </row>
    <row r="372" spans="1:4" x14ac:dyDescent="0.25">
      <c r="A372" s="681" t="str">
        <f t="shared" si="153"/>
        <v>K</v>
      </c>
      <c r="B372" s="682">
        <f>B371+2</f>
        <v>27</v>
      </c>
      <c r="C372" s="683" t="str">
        <f t="shared" ca="1" si="146"/>
        <v/>
      </c>
      <c r="D372" s="684" t="str">
        <f ca="1">IF(C372="","",Voorblad!$X$83)</f>
        <v/>
      </c>
    </row>
    <row r="373" spans="1:4" x14ac:dyDescent="0.25">
      <c r="A373" s="681" t="str">
        <f>A372</f>
        <v>K</v>
      </c>
      <c r="B373" s="682">
        <f>B372+1</f>
        <v>28</v>
      </c>
      <c r="C373" s="683" t="str">
        <f t="shared" ca="1" si="146"/>
        <v/>
      </c>
      <c r="D373" s="684" t="str">
        <f ca="1">IF(C373="","",Voorblad!$X$84)</f>
        <v/>
      </c>
    </row>
    <row r="374" spans="1:4" x14ac:dyDescent="0.25">
      <c r="A374" s="681" t="str">
        <f t="shared" ref="A374:A376" si="155">A373</f>
        <v>K</v>
      </c>
      <c r="B374" s="682">
        <f t="shared" ref="B374:B375" si="156">B373+1</f>
        <v>29</v>
      </c>
      <c r="C374" s="683" t="str">
        <f t="shared" ca="1" si="146"/>
        <v/>
      </c>
      <c r="D374" s="684" t="str">
        <f ca="1">IF(C374="","",Voorblad!$X$85)</f>
        <v/>
      </c>
    </row>
    <row r="375" spans="1:4" x14ac:dyDescent="0.25">
      <c r="A375" s="681" t="str">
        <f t="shared" si="155"/>
        <v>K</v>
      </c>
      <c r="B375" s="682">
        <f t="shared" si="156"/>
        <v>30</v>
      </c>
      <c r="C375" s="683" t="str">
        <f t="shared" ca="1" si="146"/>
        <v/>
      </c>
      <c r="D375" s="684" t="str">
        <f ca="1">IF(C375="","",Voorblad!$X$86)</f>
        <v/>
      </c>
    </row>
    <row r="376" spans="1:4" x14ac:dyDescent="0.25">
      <c r="A376" s="681" t="str">
        <f t="shared" si="155"/>
        <v>K</v>
      </c>
      <c r="B376" s="682">
        <f>B375+2</f>
        <v>32</v>
      </c>
      <c r="C376" s="683" t="str">
        <f t="shared" ca="1" si="146"/>
        <v/>
      </c>
      <c r="D376" s="684" t="str">
        <f ca="1">IF(C376="","",Voorblad!$X$87)</f>
        <v/>
      </c>
    </row>
    <row r="377" spans="1:4" x14ac:dyDescent="0.25">
      <c r="A377" s="681" t="str">
        <f>A376</f>
        <v>K</v>
      </c>
      <c r="B377" s="682">
        <f>B376+1</f>
        <v>33</v>
      </c>
      <c r="C377" s="683" t="str">
        <f t="shared" ca="1" si="146"/>
        <v/>
      </c>
      <c r="D377" s="684" t="str">
        <f ca="1">IF(C377="","",Voorblad!$X$88)</f>
        <v/>
      </c>
    </row>
    <row r="378" spans="1:4" x14ac:dyDescent="0.25">
      <c r="A378" s="681" t="str">
        <f t="shared" ref="A378:A380" si="157">A377</f>
        <v>K</v>
      </c>
      <c r="B378" s="682">
        <f t="shared" ref="B378:B379" si="158">B377+1</f>
        <v>34</v>
      </c>
      <c r="C378" s="683" t="str">
        <f t="shared" ca="1" si="146"/>
        <v/>
      </c>
      <c r="D378" s="684" t="str">
        <f ca="1">IF(C378="","",Voorblad!$X$89)</f>
        <v/>
      </c>
    </row>
    <row r="379" spans="1:4" x14ac:dyDescent="0.25">
      <c r="A379" s="681" t="str">
        <f t="shared" si="157"/>
        <v>K</v>
      </c>
      <c r="B379" s="682">
        <f t="shared" si="158"/>
        <v>35</v>
      </c>
      <c r="C379" s="683" t="str">
        <f t="shared" ca="1" si="146"/>
        <v/>
      </c>
      <c r="D379" s="684" t="str">
        <f ca="1">IF(C379="","",Voorblad!$X$90)</f>
        <v/>
      </c>
    </row>
    <row r="380" spans="1:4" x14ac:dyDescent="0.25">
      <c r="A380" s="681" t="str">
        <f t="shared" si="157"/>
        <v>K</v>
      </c>
      <c r="B380" s="682">
        <f>B379+2</f>
        <v>37</v>
      </c>
      <c r="C380" s="683" t="str">
        <f t="shared" ca="1" si="146"/>
        <v/>
      </c>
      <c r="D380" s="684" t="str">
        <f ca="1">IF(C380="","",Voorblad!$X$91)</f>
        <v/>
      </c>
    </row>
    <row r="381" spans="1:4" x14ac:dyDescent="0.25">
      <c r="A381" s="681" t="str">
        <f>A380</f>
        <v>K</v>
      </c>
      <c r="B381" s="682">
        <f>B380+1</f>
        <v>38</v>
      </c>
      <c r="C381" s="683" t="str">
        <f t="shared" ca="1" si="146"/>
        <v/>
      </c>
      <c r="D381" s="684" t="str">
        <f ca="1">IF(C381="","",Voorblad!$X$92)</f>
        <v/>
      </c>
    </row>
    <row r="382" spans="1:4" x14ac:dyDescent="0.25">
      <c r="A382" s="681" t="str">
        <f t="shared" ref="A382:A384" si="159">A381</f>
        <v>K</v>
      </c>
      <c r="B382" s="682">
        <f t="shared" ref="B382:B383" si="160">B381+1</f>
        <v>39</v>
      </c>
      <c r="C382" s="683" t="str">
        <f t="shared" ca="1" si="146"/>
        <v/>
      </c>
      <c r="D382" s="684" t="str">
        <f ca="1">IF(C382="","",Voorblad!$X$93)</f>
        <v/>
      </c>
    </row>
    <row r="383" spans="1:4" x14ac:dyDescent="0.25">
      <c r="A383" s="681" t="str">
        <f t="shared" si="159"/>
        <v>K</v>
      </c>
      <c r="B383" s="682">
        <f t="shared" si="160"/>
        <v>40</v>
      </c>
      <c r="C383" s="683" t="str">
        <f t="shared" ca="1" si="146"/>
        <v/>
      </c>
      <c r="D383" s="684" t="str">
        <f ca="1">IF(C383="","",Voorblad!$X$94)</f>
        <v/>
      </c>
    </row>
    <row r="384" spans="1:4" x14ac:dyDescent="0.25">
      <c r="A384" s="681" t="str">
        <f t="shared" si="159"/>
        <v>K</v>
      </c>
      <c r="B384" s="682">
        <f>B383+2</f>
        <v>42</v>
      </c>
      <c r="C384" s="683" t="str">
        <f t="shared" ca="1" si="146"/>
        <v/>
      </c>
      <c r="D384" s="684" t="str">
        <f ca="1">IF(C384="","",Voorblad!$X$95)</f>
        <v/>
      </c>
    </row>
    <row r="385" spans="1:4" x14ac:dyDescent="0.25">
      <c r="A385" s="681" t="str">
        <f>A384</f>
        <v>K</v>
      </c>
      <c r="B385" s="682">
        <f>B384+1</f>
        <v>43</v>
      </c>
      <c r="C385" s="683" t="str">
        <f t="shared" ca="1" si="146"/>
        <v/>
      </c>
      <c r="D385" s="684" t="str">
        <f ca="1">IF(C385="","",Voorblad!$X$96)</f>
        <v/>
      </c>
    </row>
    <row r="386" spans="1:4" x14ac:dyDescent="0.25">
      <c r="A386" s="681" t="str">
        <f t="shared" ref="A386:A387" si="161">A385</f>
        <v>K</v>
      </c>
      <c r="B386" s="682">
        <f t="shared" ref="B386:B387" si="162">B385+1</f>
        <v>44</v>
      </c>
      <c r="C386" s="683" t="str">
        <f t="shared" ca="1" si="146"/>
        <v/>
      </c>
      <c r="D386" s="684" t="str">
        <f ca="1">IF(C386="","",Voorblad!$X$97)</f>
        <v/>
      </c>
    </row>
    <row r="387" spans="1:4" x14ac:dyDescent="0.25">
      <c r="A387" s="685" t="str">
        <f t="shared" si="161"/>
        <v>K</v>
      </c>
      <c r="B387" s="686">
        <f t="shared" si="162"/>
        <v>45</v>
      </c>
      <c r="C387" s="687" t="str">
        <f t="shared" ca="1" si="146"/>
        <v/>
      </c>
      <c r="D387" s="688" t="str">
        <f ca="1">IF(C387="","",Voorblad!X$98)</f>
        <v/>
      </c>
    </row>
    <row r="388" spans="1:4" x14ac:dyDescent="0.25">
      <c r="A388" s="665" t="str">
        <f>CHAR(CODE(A356)+1)</f>
        <v>L</v>
      </c>
      <c r="B388" s="666">
        <v>7</v>
      </c>
      <c r="C388" s="667" t="str">
        <f t="shared" ca="1" si="146"/>
        <v/>
      </c>
      <c r="D388" s="668" t="str">
        <f ca="1">IF(C388="","",Voorblad!$X$67)</f>
        <v/>
      </c>
    </row>
    <row r="389" spans="1:4" x14ac:dyDescent="0.25">
      <c r="A389" s="669" t="str">
        <f>A388</f>
        <v>L</v>
      </c>
      <c r="B389" s="670">
        <f>B388+1</f>
        <v>8</v>
      </c>
      <c r="C389" s="671" t="str">
        <f t="shared" ca="1" si="146"/>
        <v/>
      </c>
      <c r="D389" s="672" t="str">
        <f ca="1">IF(C389="","",Voorblad!$X$68)</f>
        <v/>
      </c>
    </row>
    <row r="390" spans="1:4" x14ac:dyDescent="0.25">
      <c r="A390" s="669" t="str">
        <f t="shared" ref="A390:A392" si="163">A389</f>
        <v>L</v>
      </c>
      <c r="B390" s="670">
        <f t="shared" ref="B390:B391" si="164">B389+1</f>
        <v>9</v>
      </c>
      <c r="C390" s="671" t="str">
        <f t="shared" ca="1" si="146"/>
        <v/>
      </c>
      <c r="D390" s="672" t="str">
        <f ca="1">IF(C390="","",Voorblad!$X$69)</f>
        <v/>
      </c>
    </row>
    <row r="391" spans="1:4" x14ac:dyDescent="0.25">
      <c r="A391" s="669" t="str">
        <f t="shared" si="163"/>
        <v>L</v>
      </c>
      <c r="B391" s="670">
        <f t="shared" si="164"/>
        <v>10</v>
      </c>
      <c r="C391" s="671" t="str">
        <f t="shared" ca="1" si="146"/>
        <v/>
      </c>
      <c r="D391" s="672" t="str">
        <f ca="1">IF(C391="","",Voorblad!$X$70)</f>
        <v/>
      </c>
    </row>
    <row r="392" spans="1:4" x14ac:dyDescent="0.25">
      <c r="A392" s="669" t="str">
        <f t="shared" si="163"/>
        <v>L</v>
      </c>
      <c r="B392" s="670">
        <f>B391+2</f>
        <v>12</v>
      </c>
      <c r="C392" s="671" t="str">
        <f t="shared" ca="1" si="146"/>
        <v/>
      </c>
      <c r="D392" s="672" t="str">
        <f ca="1">IF(C392="","",Voorblad!$X$71)</f>
        <v/>
      </c>
    </row>
    <row r="393" spans="1:4" x14ac:dyDescent="0.25">
      <c r="A393" s="669" t="str">
        <f>A392</f>
        <v>L</v>
      </c>
      <c r="B393" s="670">
        <f>B392+1</f>
        <v>13</v>
      </c>
      <c r="C393" s="671" t="str">
        <f t="shared" ca="1" si="146"/>
        <v/>
      </c>
      <c r="D393" s="672" t="str">
        <f ca="1">IF(C393="","",Voorblad!$X$72)</f>
        <v/>
      </c>
    </row>
    <row r="394" spans="1:4" x14ac:dyDescent="0.25">
      <c r="A394" s="669" t="str">
        <f t="shared" ref="A394:A396" si="165">A393</f>
        <v>L</v>
      </c>
      <c r="B394" s="670">
        <f t="shared" ref="B394:B395" si="166">B393+1</f>
        <v>14</v>
      </c>
      <c r="C394" s="671" t="str">
        <f t="shared" ca="1" si="146"/>
        <v/>
      </c>
      <c r="D394" s="672" t="str">
        <f ca="1">IF(C394="","",Voorblad!$X$73)</f>
        <v/>
      </c>
    </row>
    <row r="395" spans="1:4" x14ac:dyDescent="0.25">
      <c r="A395" s="669" t="str">
        <f t="shared" si="165"/>
        <v>L</v>
      </c>
      <c r="B395" s="670">
        <f t="shared" si="166"/>
        <v>15</v>
      </c>
      <c r="C395" s="671" t="str">
        <f t="shared" ca="1" si="146"/>
        <v/>
      </c>
      <c r="D395" s="672" t="str">
        <f ca="1">IF(C395="","",Voorblad!$X$74)</f>
        <v/>
      </c>
    </row>
    <row r="396" spans="1:4" x14ac:dyDescent="0.25">
      <c r="A396" s="669" t="str">
        <f t="shared" si="165"/>
        <v>L</v>
      </c>
      <c r="B396" s="670">
        <f>B395+2</f>
        <v>17</v>
      </c>
      <c r="C396" s="671" t="str">
        <f t="shared" ca="1" si="146"/>
        <v/>
      </c>
      <c r="D396" s="672" t="str">
        <f ca="1">IF(C396="","",Voorblad!$X$75)</f>
        <v/>
      </c>
    </row>
    <row r="397" spans="1:4" x14ac:dyDescent="0.25">
      <c r="A397" s="669" t="str">
        <f>A396</f>
        <v>L</v>
      </c>
      <c r="B397" s="670">
        <f>B396+1</f>
        <v>18</v>
      </c>
      <c r="C397" s="671" t="str">
        <f t="shared" ca="1" si="146"/>
        <v/>
      </c>
      <c r="D397" s="672" t="str">
        <f ca="1">IF(C397="","",Voorblad!$X$76)</f>
        <v/>
      </c>
    </row>
    <row r="398" spans="1:4" x14ac:dyDescent="0.25">
      <c r="A398" s="669" t="str">
        <f t="shared" ref="A398:A400" si="167">A397</f>
        <v>L</v>
      </c>
      <c r="B398" s="670">
        <f t="shared" ref="B398:B399" si="168">B397+1</f>
        <v>19</v>
      </c>
      <c r="C398" s="671" t="str">
        <f t="shared" ca="1" si="146"/>
        <v/>
      </c>
      <c r="D398" s="672" t="str">
        <f ca="1">IF(C398="","",Voorblad!$X$77)</f>
        <v/>
      </c>
    </row>
    <row r="399" spans="1:4" x14ac:dyDescent="0.25">
      <c r="A399" s="669" t="str">
        <f t="shared" si="167"/>
        <v>L</v>
      </c>
      <c r="B399" s="670">
        <f t="shared" si="168"/>
        <v>20</v>
      </c>
      <c r="C399" s="671" t="str">
        <f t="shared" ca="1" si="146"/>
        <v/>
      </c>
      <c r="D399" s="672" t="str">
        <f ca="1">IF(C399="","",Voorblad!$X$78)</f>
        <v/>
      </c>
    </row>
    <row r="400" spans="1:4" x14ac:dyDescent="0.25">
      <c r="A400" s="669" t="str">
        <f t="shared" si="167"/>
        <v>L</v>
      </c>
      <c r="B400" s="670">
        <f>B399+2</f>
        <v>22</v>
      </c>
      <c r="C400" s="671" t="str">
        <f t="shared" ca="1" si="146"/>
        <v/>
      </c>
      <c r="D400" s="672" t="str">
        <f ca="1">IF(C400="","",Voorblad!$X$79)</f>
        <v/>
      </c>
    </row>
    <row r="401" spans="1:4" x14ac:dyDescent="0.25">
      <c r="A401" s="669" t="str">
        <f>A400</f>
        <v>L</v>
      </c>
      <c r="B401" s="670">
        <f>B400+1</f>
        <v>23</v>
      </c>
      <c r="C401" s="671" t="str">
        <f t="shared" ca="1" si="146"/>
        <v/>
      </c>
      <c r="D401" s="672" t="str">
        <f ca="1">IF(C401="","",Voorblad!$X$80)</f>
        <v/>
      </c>
    </row>
    <row r="402" spans="1:4" x14ac:dyDescent="0.25">
      <c r="A402" s="669" t="str">
        <f t="shared" ref="A402:A404" si="169">A401</f>
        <v>L</v>
      </c>
      <c r="B402" s="670">
        <f t="shared" ref="B402:B403" si="170">B401+1</f>
        <v>24</v>
      </c>
      <c r="C402" s="671" t="str">
        <f t="shared" ca="1" si="146"/>
        <v/>
      </c>
      <c r="D402" s="672" t="str">
        <f ca="1">IF(C402="","",Voorblad!$X$81)</f>
        <v/>
      </c>
    </row>
    <row r="403" spans="1:4" x14ac:dyDescent="0.25">
      <c r="A403" s="669" t="str">
        <f t="shared" si="169"/>
        <v>L</v>
      </c>
      <c r="B403" s="670">
        <f t="shared" si="170"/>
        <v>25</v>
      </c>
      <c r="C403" s="671" t="str">
        <f t="shared" ca="1" si="146"/>
        <v/>
      </c>
      <c r="D403" s="672" t="str">
        <f ca="1">IF(C403="","",Voorblad!$X$82)</f>
        <v/>
      </c>
    </row>
    <row r="404" spans="1:4" x14ac:dyDescent="0.25">
      <c r="A404" s="669" t="str">
        <f t="shared" si="169"/>
        <v>L</v>
      </c>
      <c r="B404" s="670">
        <f>B403+2</f>
        <v>27</v>
      </c>
      <c r="C404" s="671" t="str">
        <f t="shared" ca="1" si="146"/>
        <v/>
      </c>
      <c r="D404" s="672" t="str">
        <f ca="1">IF(C404="","",Voorblad!$X$83)</f>
        <v/>
      </c>
    </row>
    <row r="405" spans="1:4" x14ac:dyDescent="0.25">
      <c r="A405" s="669" t="str">
        <f>A404</f>
        <v>L</v>
      </c>
      <c r="B405" s="670">
        <f>B404+1</f>
        <v>28</v>
      </c>
      <c r="C405" s="671" t="str">
        <f t="shared" ca="1" si="146"/>
        <v/>
      </c>
      <c r="D405" s="672" t="str">
        <f ca="1">IF(C405="","",Voorblad!$X$84)</f>
        <v/>
      </c>
    </row>
    <row r="406" spans="1:4" x14ac:dyDescent="0.25">
      <c r="A406" s="669" t="str">
        <f t="shared" ref="A406:A408" si="171">A405</f>
        <v>L</v>
      </c>
      <c r="B406" s="670">
        <f t="shared" ref="B406:B407" si="172">B405+1</f>
        <v>29</v>
      </c>
      <c r="C406" s="671" t="str">
        <f t="shared" ca="1" si="146"/>
        <v/>
      </c>
      <c r="D406" s="672" t="str">
        <f ca="1">IF(C406="","",Voorblad!$X$85)</f>
        <v/>
      </c>
    </row>
    <row r="407" spans="1:4" x14ac:dyDescent="0.25">
      <c r="A407" s="669" t="str">
        <f t="shared" si="171"/>
        <v>L</v>
      </c>
      <c r="B407" s="670">
        <f t="shared" si="172"/>
        <v>30</v>
      </c>
      <c r="C407" s="671" t="str">
        <f t="shared" ca="1" si="146"/>
        <v/>
      </c>
      <c r="D407" s="672" t="str">
        <f ca="1">IF(C407="","",Voorblad!$X$86)</f>
        <v/>
      </c>
    </row>
    <row r="408" spans="1:4" x14ac:dyDescent="0.25">
      <c r="A408" s="669" t="str">
        <f t="shared" si="171"/>
        <v>L</v>
      </c>
      <c r="B408" s="670">
        <f>B407+2</f>
        <v>32</v>
      </c>
      <c r="C408" s="671" t="str">
        <f t="shared" ca="1" si="146"/>
        <v/>
      </c>
      <c r="D408" s="672" t="str">
        <f ca="1">IF(C408="","",Voorblad!$X$87)</f>
        <v/>
      </c>
    </row>
    <row r="409" spans="1:4" x14ac:dyDescent="0.25">
      <c r="A409" s="669" t="str">
        <f>A408</f>
        <v>L</v>
      </c>
      <c r="B409" s="670">
        <f>B408+1</f>
        <v>33</v>
      </c>
      <c r="C409" s="671" t="str">
        <f t="shared" ca="1" si="146"/>
        <v/>
      </c>
      <c r="D409" s="672" t="str">
        <f ca="1">IF(C409="","",Voorblad!$X$88)</f>
        <v/>
      </c>
    </row>
    <row r="410" spans="1:4" x14ac:dyDescent="0.25">
      <c r="A410" s="669" t="str">
        <f t="shared" ref="A410:A412" si="173">A409</f>
        <v>L</v>
      </c>
      <c r="B410" s="670">
        <f t="shared" ref="B410:B411" si="174">B409+1</f>
        <v>34</v>
      </c>
      <c r="C410" s="671" t="str">
        <f t="shared" ca="1" si="146"/>
        <v/>
      </c>
      <c r="D410" s="672" t="str">
        <f ca="1">IF(C410="","",Voorblad!$X$89)</f>
        <v/>
      </c>
    </row>
    <row r="411" spans="1:4" x14ac:dyDescent="0.25">
      <c r="A411" s="669" t="str">
        <f t="shared" si="173"/>
        <v>L</v>
      </c>
      <c r="B411" s="670">
        <f t="shared" si="174"/>
        <v>35</v>
      </c>
      <c r="C411" s="671" t="str">
        <f t="shared" ca="1" si="146"/>
        <v/>
      </c>
      <c r="D411" s="672" t="str">
        <f ca="1">IF(C411="","",Voorblad!$X$90)</f>
        <v/>
      </c>
    </row>
    <row r="412" spans="1:4" x14ac:dyDescent="0.25">
      <c r="A412" s="669" t="str">
        <f t="shared" si="173"/>
        <v>L</v>
      </c>
      <c r="B412" s="670">
        <f>B411+2</f>
        <v>37</v>
      </c>
      <c r="C412" s="671" t="str">
        <f t="shared" ca="1" si="146"/>
        <v/>
      </c>
      <c r="D412" s="672" t="str">
        <f ca="1">IF(C412="","",Voorblad!$X$91)</f>
        <v/>
      </c>
    </row>
    <row r="413" spans="1:4" x14ac:dyDescent="0.25">
      <c r="A413" s="669" t="str">
        <f>A412</f>
        <v>L</v>
      </c>
      <c r="B413" s="670">
        <f>B412+1</f>
        <v>38</v>
      </c>
      <c r="C413" s="671" t="str">
        <f t="shared" ca="1" si="146"/>
        <v/>
      </c>
      <c r="D413" s="672" t="str">
        <f ca="1">IF(C413="","",Voorblad!$X$92)</f>
        <v/>
      </c>
    </row>
    <row r="414" spans="1:4" x14ac:dyDescent="0.25">
      <c r="A414" s="669" t="str">
        <f t="shared" ref="A414:A416" si="175">A413</f>
        <v>L</v>
      </c>
      <c r="B414" s="670">
        <f t="shared" ref="B414:B415" si="176">B413+1</f>
        <v>39</v>
      </c>
      <c r="C414" s="671" t="str">
        <f t="shared" ca="1" si="146"/>
        <v/>
      </c>
      <c r="D414" s="672" t="str">
        <f ca="1">IF(C414="","",Voorblad!$X$93)</f>
        <v/>
      </c>
    </row>
    <row r="415" spans="1:4" x14ac:dyDescent="0.25">
      <c r="A415" s="669" t="str">
        <f t="shared" si="175"/>
        <v>L</v>
      </c>
      <c r="B415" s="670">
        <f t="shared" si="176"/>
        <v>40</v>
      </c>
      <c r="C415" s="671" t="str">
        <f t="shared" ca="1" si="146"/>
        <v/>
      </c>
      <c r="D415" s="672" t="str">
        <f ca="1">IF(C415="","",Voorblad!$X$94)</f>
        <v/>
      </c>
    </row>
    <row r="416" spans="1:4" x14ac:dyDescent="0.25">
      <c r="A416" s="669" t="str">
        <f t="shared" si="175"/>
        <v>L</v>
      </c>
      <c r="B416" s="670">
        <f>B415+2</f>
        <v>42</v>
      </c>
      <c r="C416" s="671" t="str">
        <f t="shared" ca="1" si="146"/>
        <v/>
      </c>
      <c r="D416" s="672" t="str">
        <f ca="1">IF(C416="","",Voorblad!$X$95)</f>
        <v/>
      </c>
    </row>
    <row r="417" spans="1:4" x14ac:dyDescent="0.25">
      <c r="A417" s="669" t="str">
        <f>A416</f>
        <v>L</v>
      </c>
      <c r="B417" s="670">
        <f>B416+1</f>
        <v>43</v>
      </c>
      <c r="C417" s="671" t="str">
        <f t="shared" ca="1" si="146"/>
        <v/>
      </c>
      <c r="D417" s="672" t="str">
        <f ca="1">IF(C417="","",Voorblad!$X$96)</f>
        <v/>
      </c>
    </row>
    <row r="418" spans="1:4" x14ac:dyDescent="0.25">
      <c r="A418" s="669" t="str">
        <f t="shared" ref="A418:A419" si="177">A417</f>
        <v>L</v>
      </c>
      <c r="B418" s="670">
        <f t="shared" ref="B418:B419" si="178">B417+1</f>
        <v>44</v>
      </c>
      <c r="C418" s="671" t="str">
        <f t="shared" ca="1" si="146"/>
        <v/>
      </c>
      <c r="D418" s="672" t="str">
        <f ca="1">IF(C418="","",Voorblad!$X$97)</f>
        <v/>
      </c>
    </row>
    <row r="419" spans="1:4" x14ac:dyDescent="0.25">
      <c r="A419" s="673" t="str">
        <f t="shared" si="177"/>
        <v>L</v>
      </c>
      <c r="B419" s="674">
        <f t="shared" si="178"/>
        <v>45</v>
      </c>
      <c r="C419" s="675" t="str">
        <f t="shared" ca="1" si="146"/>
        <v/>
      </c>
      <c r="D419" s="676"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604" customWidth="1"/>
    <col min="2" max="2" width="10.7109375" style="604" customWidth="1"/>
    <col min="3" max="27" width="50.7109375" style="605" customWidth="1"/>
    <col min="28" max="16384" width="9" style="605"/>
  </cols>
  <sheetData>
    <row r="1" spans="1:6" s="593" customFormat="1" x14ac:dyDescent="0.25">
      <c r="A1" s="594" t="s">
        <v>643</v>
      </c>
      <c r="C1" s="595">
        <f>Taal01!$C$1</f>
        <v>1</v>
      </c>
    </row>
    <row r="2" spans="1:6" s="593" customFormat="1" x14ac:dyDescent="0.25">
      <c r="A2" s="594" t="s">
        <v>644</v>
      </c>
      <c r="C2" s="595">
        <f>$C$1+2</f>
        <v>3</v>
      </c>
    </row>
    <row r="3" spans="1:6" s="597" customFormat="1" x14ac:dyDescent="0.25">
      <c r="A3" s="596" t="s">
        <v>590</v>
      </c>
      <c r="B3" s="861" t="s">
        <v>637</v>
      </c>
      <c r="C3" s="597" t="s">
        <v>591</v>
      </c>
      <c r="D3" s="597" t="s">
        <v>448</v>
      </c>
      <c r="E3" s="597" t="s">
        <v>447</v>
      </c>
      <c r="F3" s="597" t="s">
        <v>449</v>
      </c>
    </row>
    <row r="4" spans="1:6" s="575" customFormat="1" x14ac:dyDescent="0.25">
      <c r="A4" s="598"/>
      <c r="B4" s="862"/>
    </row>
    <row r="5" spans="1:6" s="576" customFormat="1" x14ac:dyDescent="0.25">
      <c r="A5" s="599" t="s">
        <v>923</v>
      </c>
      <c r="B5" s="863"/>
    </row>
    <row r="6" spans="1:6" s="603" customFormat="1" x14ac:dyDescent="0.25">
      <c r="A6" s="602" t="str">
        <f>"03-C-001"</f>
        <v>03-C-001</v>
      </c>
      <c r="B6" s="864" t="str">
        <f t="shared" ref="B6:B29" ca="1" si="0">TRIM(INDIRECT(CHAR(64+$C$2)&amp;ROW()))</f>
        <v>Het Algemeen Reglement</v>
      </c>
      <c r="C6" s="603" t="s">
        <v>1254</v>
      </c>
      <c r="D6" s="603" t="s">
        <v>681</v>
      </c>
      <c r="E6" s="603" t="s">
        <v>1353</v>
      </c>
      <c r="F6" s="603" t="s">
        <v>1674</v>
      </c>
    </row>
    <row r="7" spans="1:6" s="576" customFormat="1" x14ac:dyDescent="0.25">
      <c r="A7" s="587" t="str">
        <f t="shared" ref="A7:A74" si="1">LEFT(A6,5)&amp;RIGHT("000"&amp;RIGHT(A6,3)*1+1,3)</f>
        <v>03-C-002</v>
      </c>
      <c r="B7" s="868" t="str">
        <f t="shared" ca="1" si="0"/>
        <v>(pagina #)</v>
      </c>
      <c r="C7" s="576" t="s">
        <v>721</v>
      </c>
      <c r="D7" s="576" t="s">
        <v>722</v>
      </c>
      <c r="E7" s="576" t="s">
        <v>1354</v>
      </c>
      <c r="F7" s="576" t="s">
        <v>1675</v>
      </c>
    </row>
    <row r="8" spans="1:6" s="603" customFormat="1" x14ac:dyDescent="0.25">
      <c r="A8" s="602" t="str">
        <f t="shared" si="1"/>
        <v>03-C-003</v>
      </c>
      <c r="B8" s="864" t="str">
        <f t="shared" ca="1" si="0"/>
        <v>De Regels</v>
      </c>
      <c r="C8" s="603" t="s">
        <v>27</v>
      </c>
      <c r="D8" s="603" t="s">
        <v>680</v>
      </c>
      <c r="E8" s="603" t="s">
        <v>1355</v>
      </c>
      <c r="F8" s="603" t="s">
        <v>1676</v>
      </c>
    </row>
    <row r="9" spans="1:6" s="576" customFormat="1" x14ac:dyDescent="0.25">
      <c r="A9" s="587" t="str">
        <f t="shared" si="1"/>
        <v>03-C-004</v>
      </c>
      <c r="B9" s="868" t="str">
        <f t="shared" ca="1" si="0"/>
        <v>De Deelnamecode en/of het Deelname Formulier dienen voor ### ingeleverd te worden bij $$$ (&amp;&amp;&amp;).</v>
      </c>
      <c r="C9" s="576" t="s">
        <v>2255</v>
      </c>
      <c r="D9" s="576" t="s">
        <v>684</v>
      </c>
      <c r="E9" s="576" t="s">
        <v>1356</v>
      </c>
      <c r="F9" s="576" t="s">
        <v>1677</v>
      </c>
    </row>
    <row r="10" spans="1:6" s="575" customFormat="1" x14ac:dyDescent="0.25">
      <c r="A10" s="588" t="str">
        <f t="shared" si="1"/>
        <v>03-C-005</v>
      </c>
      <c r="B10" s="867" t="str">
        <f t="shared" ca="1" si="0"/>
        <v>De Deelnamecode en/of het Deelname Formulier dienen voor ### gemaild te worden naar &amp;&amp;&amp;.</v>
      </c>
      <c r="C10" s="575" t="s">
        <v>2256</v>
      </c>
      <c r="D10" s="575" t="s">
        <v>718</v>
      </c>
      <c r="E10" s="575" t="s">
        <v>1357</v>
      </c>
      <c r="F10" s="575" t="s">
        <v>1678</v>
      </c>
    </row>
    <row r="11" spans="1:6" s="579" customFormat="1" x14ac:dyDescent="0.25">
      <c r="A11" s="577" t="str">
        <f t="shared" si="1"/>
        <v>03-C-006</v>
      </c>
      <c r="B11" s="871" t="str">
        <f t="shared" ca="1" si="0"/>
        <v>Ook de inleg dient voor de sluitingsdatum betaald te worden.</v>
      </c>
      <c r="C11" s="579" t="s">
        <v>682</v>
      </c>
      <c r="D11" s="579" t="s">
        <v>685</v>
      </c>
      <c r="E11" s="579" t="s">
        <v>1358</v>
      </c>
      <c r="F11" s="579" t="s">
        <v>1679</v>
      </c>
    </row>
    <row r="12" spans="1:6" s="582" customFormat="1" x14ac:dyDescent="0.25">
      <c r="A12" s="580" t="str">
        <f t="shared" si="1"/>
        <v>03-C-007</v>
      </c>
      <c r="B12" s="870" t="str">
        <f t="shared" ca="1" si="0"/>
        <v>Wanneer dit niet tijdig is gebeurd wordt de deelname ongeldig verklaard.</v>
      </c>
      <c r="C12" s="582" t="s">
        <v>683</v>
      </c>
      <c r="D12" s="582" t="s">
        <v>686</v>
      </c>
      <c r="E12" s="582" t="s">
        <v>1359</v>
      </c>
      <c r="F12" s="582" t="s">
        <v>1680</v>
      </c>
    </row>
    <row r="13" spans="1:6" s="579" customFormat="1" x14ac:dyDescent="0.25">
      <c r="A13" s="587" t="str">
        <f t="shared" si="1"/>
        <v>03-C-008</v>
      </c>
      <c r="B13" s="868" t="str">
        <f t="shared" ca="1" si="0"/>
        <v>Na de start van de openingsceremonie is het niet meer mogelijk om uw voorspellingen aan te passen.</v>
      </c>
      <c r="C13" s="576" t="s">
        <v>864</v>
      </c>
      <c r="D13" s="576" t="s">
        <v>865</v>
      </c>
      <c r="E13" s="576" t="s">
        <v>1360</v>
      </c>
      <c r="F13" s="576" t="s">
        <v>1681</v>
      </c>
    </row>
    <row r="14" spans="1:6" s="582" customFormat="1" x14ac:dyDescent="0.25">
      <c r="A14" s="580" t="str">
        <f t="shared" si="1"/>
        <v>03-C-009</v>
      </c>
      <c r="B14" s="870" t="str">
        <f t="shared" ca="1" si="0"/>
        <v>Voor aanvang van de eerste 1/8 finale is het eenmalige mogelijk om uw voorspellingen voor de finalewedstrijden aan te passen.</v>
      </c>
      <c r="C14" s="582" t="s">
        <v>866</v>
      </c>
      <c r="D14" s="582" t="s">
        <v>936</v>
      </c>
      <c r="E14" s="582" t="s">
        <v>1361</v>
      </c>
      <c r="F14" s="582" t="s">
        <v>1682</v>
      </c>
    </row>
    <row r="15" spans="1:6" s="576" customFormat="1" x14ac:dyDescent="0.25">
      <c r="A15" s="587" t="str">
        <f t="shared" si="1"/>
        <v>03-C-010</v>
      </c>
      <c r="B15" s="868" t="str">
        <f t="shared" ca="1" si="0"/>
        <v>Bij deze pool is deelname gratis en is er dus geen inleg verplicht om mee te spelen.</v>
      </c>
      <c r="C15" s="576" t="s">
        <v>688</v>
      </c>
      <c r="D15" s="576" t="s">
        <v>687</v>
      </c>
      <c r="E15" s="576" t="s">
        <v>1362</v>
      </c>
      <c r="F15" s="576" t="s">
        <v>1683</v>
      </c>
    </row>
    <row r="16" spans="1:6" s="575" customFormat="1" x14ac:dyDescent="0.25">
      <c r="A16" s="588" t="str">
        <f t="shared" si="1"/>
        <v>03-C-011</v>
      </c>
      <c r="B16" s="867" t="str">
        <f t="shared" ca="1" si="0"/>
        <v>Ondanks de prijzenpot is deelname aan deze pool gratis</v>
      </c>
      <c r="C16" s="575" t="s">
        <v>862</v>
      </c>
      <c r="D16" s="575" t="s">
        <v>863</v>
      </c>
      <c r="E16" s="575" t="s">
        <v>1363</v>
      </c>
      <c r="F16" s="575" t="s">
        <v>1684</v>
      </c>
    </row>
    <row r="17" spans="1:6" s="576" customFormat="1" x14ac:dyDescent="0.25">
      <c r="A17" s="587" t="str">
        <f t="shared" si="1"/>
        <v>03-C-012</v>
      </c>
      <c r="B17" s="868" t="str">
        <f t="shared" ca="1" si="0"/>
        <v>Deze pool heeft voor deelname een verplichte inleg van €###</v>
      </c>
      <c r="C17" s="576" t="s">
        <v>720</v>
      </c>
      <c r="D17" s="576" t="s">
        <v>719</v>
      </c>
      <c r="E17" s="576" t="s">
        <v>1364</v>
      </c>
      <c r="F17" s="576" t="s">
        <v>1685</v>
      </c>
    </row>
    <row r="18" spans="1:6" s="575" customFormat="1" x14ac:dyDescent="0.25">
      <c r="A18" s="588" t="str">
        <f t="shared" si="1"/>
        <v>03-C-013</v>
      </c>
      <c r="B18" s="867" t="str">
        <f t="shared" ca="1" si="0"/>
        <v>Deze pool heeft voor deelname een optionele inleg van €###</v>
      </c>
      <c r="C18" s="575" t="s">
        <v>860</v>
      </c>
      <c r="D18" s="575" t="s">
        <v>861</v>
      </c>
      <c r="E18" s="575" t="s">
        <v>1365</v>
      </c>
      <c r="F18" s="575" t="s">
        <v>1686</v>
      </c>
    </row>
    <row r="19" spans="1:6" s="576" customFormat="1" x14ac:dyDescent="0.25">
      <c r="A19" s="587" t="str">
        <f t="shared" si="1"/>
        <v>03-C-014</v>
      </c>
      <c r="B19" s="868" t="str">
        <f t="shared" ca="1" si="0"/>
        <v>(zie werkblad 'Prijzenpot' voor meer info).</v>
      </c>
      <c r="C19" s="576" t="s">
        <v>689</v>
      </c>
      <c r="D19" s="576" t="s">
        <v>775</v>
      </c>
      <c r="E19" s="576" t="s">
        <v>1366</v>
      </c>
      <c r="F19" s="576" t="s">
        <v>1687</v>
      </c>
    </row>
    <row r="20" spans="1:6" s="575" customFormat="1" x14ac:dyDescent="0.25">
      <c r="A20" s="588" t="str">
        <f t="shared" si="1"/>
        <v>03-C-015</v>
      </c>
      <c r="B20" s="867" t="str">
        <f t="shared" ca="1" si="0"/>
        <v>(zie de volgende pagina voor meer info).</v>
      </c>
      <c r="C20" s="575" t="s">
        <v>690</v>
      </c>
      <c r="D20" s="575" t="s">
        <v>691</v>
      </c>
      <c r="E20" s="575" t="s">
        <v>1367</v>
      </c>
      <c r="F20" s="575" t="s">
        <v>1688</v>
      </c>
    </row>
    <row r="21" spans="1:6" s="576" customFormat="1" x14ac:dyDescent="0.25">
      <c r="A21" s="587" t="str">
        <f t="shared" si="1"/>
        <v>03-C-016</v>
      </c>
      <c r="B21" s="868" t="str">
        <f t="shared" ca="1" si="0"/>
        <v>Het is wel toegestaan om als deelnemer meerdere deelname formulieren in te leveren.</v>
      </c>
      <c r="C21" s="576" t="s">
        <v>694</v>
      </c>
      <c r="D21" s="576" t="s">
        <v>692</v>
      </c>
      <c r="E21" s="576" t="s">
        <v>1368</v>
      </c>
      <c r="F21" s="576" t="s">
        <v>1689</v>
      </c>
    </row>
    <row r="22" spans="1:6" s="575" customFormat="1" x14ac:dyDescent="0.25">
      <c r="A22" s="588" t="str">
        <f t="shared" si="1"/>
        <v>03-C-017</v>
      </c>
      <c r="B22" s="867" t="str">
        <f t="shared" ca="1" si="0"/>
        <v>Het is niet toegestaan om als deelnemer meerdere deelname formulieren in te leveren.</v>
      </c>
      <c r="C22" s="575" t="s">
        <v>695</v>
      </c>
      <c r="D22" s="575" t="s">
        <v>693</v>
      </c>
      <c r="E22" s="575" t="s">
        <v>1369</v>
      </c>
      <c r="F22" s="575" t="s">
        <v>1690</v>
      </c>
    </row>
    <row r="23" spans="1:6" s="576" customFormat="1" x14ac:dyDescent="0.25">
      <c r="A23" s="587" t="str">
        <f t="shared" si="1"/>
        <v>03-C-018</v>
      </c>
      <c r="B23" s="868" t="str">
        <f t="shared" ca="1" si="0"/>
        <v>Het is niet mogelijk om uitslagen te voorspellen waarin één land meer dan 9 doelpunten maakt. Wanneer een land toch meer dan 9 doelpunten maakt tijdens één wedstrijd zal bij de uitslag 9 doelpunten genoteerd worden.</v>
      </c>
      <c r="C23" s="576" t="s">
        <v>696</v>
      </c>
      <c r="D23" s="576" t="s">
        <v>697</v>
      </c>
      <c r="E23" s="576" t="s">
        <v>1370</v>
      </c>
      <c r="F23" s="576" t="s">
        <v>1691</v>
      </c>
    </row>
    <row r="24" spans="1:6" s="575" customFormat="1" x14ac:dyDescent="0.25">
      <c r="A24" s="588" t="str">
        <f t="shared" si="1"/>
        <v>03-C-019</v>
      </c>
      <c r="B24" s="867" t="str">
        <f t="shared" ca="1" si="0"/>
        <v>Voor het voorspellen van de TOTO vult men een 1 in wanneer men denkt dat de thuisploeg zal winnen, een 2 als men denkt dat de uitploeg zal winnen en wanneer men een gelijkspel verwacht vult men een 3 in.</v>
      </c>
      <c r="C24" s="575" t="s">
        <v>272</v>
      </c>
      <c r="D24" s="575" t="s">
        <v>698</v>
      </c>
      <c r="E24" s="575" t="s">
        <v>1371</v>
      </c>
      <c r="F24" s="575" t="s">
        <v>1692</v>
      </c>
    </row>
    <row r="25" spans="1:6" s="576" customFormat="1" x14ac:dyDescent="0.25">
      <c r="A25" s="587" t="str">
        <f t="shared" si="1"/>
        <v>03-C-020</v>
      </c>
      <c r="B25" s="868" t="str">
        <f t="shared" ca="1" si="0"/>
        <v>In de finalewedstrijden wordt de uitslag aangehouden die bereikt is na het verstrijken van de reguliere speeltijd inclusief de blessuretijd.</v>
      </c>
      <c r="C25" s="576" t="s">
        <v>699</v>
      </c>
      <c r="D25" s="576" t="s">
        <v>937</v>
      </c>
      <c r="E25" s="576" t="s">
        <v>1372</v>
      </c>
      <c r="F25" s="576" t="s">
        <v>1693</v>
      </c>
    </row>
    <row r="26" spans="1:6" s="575" customFormat="1" x14ac:dyDescent="0.25">
      <c r="A26" s="588" t="str">
        <f t="shared" si="1"/>
        <v>03-C-021</v>
      </c>
      <c r="B26" s="867" t="str">
        <f t="shared" ca="1" si="0"/>
        <v>In de finalewedstrijden wordt de uitslag aangehouden die bereikt is na het verstrijken van de eventuele verlenging inclusief de blessuretijd.</v>
      </c>
      <c r="C26" s="575" t="s">
        <v>700</v>
      </c>
      <c r="D26" s="575" t="s">
        <v>944</v>
      </c>
      <c r="E26" s="575" t="s">
        <v>1373</v>
      </c>
      <c r="F26" s="575" t="s">
        <v>1937</v>
      </c>
    </row>
    <row r="27" spans="1:6" s="576" customFormat="1" x14ac:dyDescent="0.25">
      <c r="A27" s="587" t="str">
        <f t="shared" si="1"/>
        <v>03-C-022</v>
      </c>
      <c r="B27" s="868" t="str">
        <f t="shared" ca="1" si="0"/>
        <v>Een gelijkspel in de finalewedstrijden is dus ook mogelijk.</v>
      </c>
      <c r="C27" s="576" t="s">
        <v>701</v>
      </c>
      <c r="D27" s="576" t="s">
        <v>938</v>
      </c>
      <c r="E27" s="576" t="s">
        <v>1374</v>
      </c>
      <c r="F27" s="576" t="s">
        <v>1694</v>
      </c>
    </row>
    <row r="28" spans="1:6" s="575" customFormat="1" x14ac:dyDescent="0.25">
      <c r="A28" s="588" t="str">
        <f t="shared" si="1"/>
        <v>03-C-023</v>
      </c>
      <c r="B28" s="867" t="str">
        <f t="shared" ca="1" si="0"/>
        <v>In gevallen waar het reglement niet in voorziet, beslist de wedstrijdleiding.</v>
      </c>
      <c r="C28" s="575" t="s">
        <v>28</v>
      </c>
      <c r="D28" s="575" t="s">
        <v>702</v>
      </c>
      <c r="E28" s="575" t="s">
        <v>1375</v>
      </c>
      <c r="F28" s="575" t="s">
        <v>1695</v>
      </c>
    </row>
    <row r="29" spans="1:6" s="576" customFormat="1" x14ac:dyDescent="0.25">
      <c r="A29" s="587" t="str">
        <f t="shared" si="1"/>
        <v>03-C-024</v>
      </c>
      <c r="B29" s="868" t="str">
        <f t="shared" ca="1" si="0"/>
        <v>Door het inleveren van het deelname formulier gaat u akkoord met dit wedstrijdreglement.</v>
      </c>
      <c r="C29" s="576" t="s">
        <v>704</v>
      </c>
      <c r="D29" s="576" t="s">
        <v>703</v>
      </c>
      <c r="E29" s="576" t="s">
        <v>1376</v>
      </c>
      <c r="F29" s="576" t="s">
        <v>1696</v>
      </c>
    </row>
    <row r="30" spans="1:6" s="582" customFormat="1" x14ac:dyDescent="0.25">
      <c r="A30" s="580" t="str">
        <f t="shared" si="1"/>
        <v>03-C-025</v>
      </c>
      <c r="B30" s="870"/>
      <c r="F30" s="582" t="s">
        <v>330</v>
      </c>
    </row>
    <row r="31" spans="1:6" s="579" customFormat="1" x14ac:dyDescent="0.25">
      <c r="A31" s="577" t="str">
        <f t="shared" si="1"/>
        <v>03-C-026</v>
      </c>
      <c r="B31" s="868"/>
      <c r="F31" s="579" t="s">
        <v>330</v>
      </c>
    </row>
    <row r="32" spans="1:6" s="582" customFormat="1" x14ac:dyDescent="0.25">
      <c r="A32" s="580" t="str">
        <f t="shared" si="1"/>
        <v>03-C-027</v>
      </c>
      <c r="B32" s="867"/>
      <c r="F32" s="582" t="s">
        <v>330</v>
      </c>
    </row>
    <row r="33" spans="1:6" s="579" customFormat="1" x14ac:dyDescent="0.25">
      <c r="A33" s="577" t="str">
        <f t="shared" si="1"/>
        <v>03-C-028</v>
      </c>
      <c r="B33" s="871"/>
      <c r="F33" s="579" t="s">
        <v>330</v>
      </c>
    </row>
    <row r="34" spans="1:6" s="582" customFormat="1" x14ac:dyDescent="0.25">
      <c r="A34" s="580" t="str">
        <f t="shared" si="1"/>
        <v>03-C-029</v>
      </c>
      <c r="B34" s="870"/>
      <c r="F34" s="582" t="s">
        <v>330</v>
      </c>
    </row>
    <row r="35" spans="1:6" s="576" customFormat="1" x14ac:dyDescent="0.25">
      <c r="A35" s="587" t="str">
        <f t="shared" si="1"/>
        <v>03-C-030</v>
      </c>
      <c r="B35" s="868" t="str">
        <f t="shared" ref="B35:B46" ca="1" si="2">TRIM(INDIRECT(CHAR(64+$C$2)&amp;ROW()))</f>
        <v>januari</v>
      </c>
      <c r="C35" s="576" t="s">
        <v>49</v>
      </c>
      <c r="D35" s="576" t="s">
        <v>705</v>
      </c>
      <c r="E35" s="576" t="s">
        <v>1377</v>
      </c>
      <c r="F35" s="576" t="s">
        <v>1697</v>
      </c>
    </row>
    <row r="36" spans="1:6" s="575" customFormat="1" x14ac:dyDescent="0.25">
      <c r="A36" s="588" t="str">
        <f t="shared" si="1"/>
        <v>03-C-031</v>
      </c>
      <c r="B36" s="867" t="str">
        <f t="shared" ca="1" si="2"/>
        <v>februari</v>
      </c>
      <c r="C36" s="575" t="s">
        <v>50</v>
      </c>
      <c r="D36" s="575" t="s">
        <v>706</v>
      </c>
      <c r="E36" s="575" t="s">
        <v>1378</v>
      </c>
      <c r="F36" s="575" t="s">
        <v>1698</v>
      </c>
    </row>
    <row r="37" spans="1:6" s="576" customFormat="1" x14ac:dyDescent="0.25">
      <c r="A37" s="587" t="str">
        <f t="shared" si="1"/>
        <v>03-C-032</v>
      </c>
      <c r="B37" s="868" t="str">
        <f t="shared" ca="1" si="2"/>
        <v>maart</v>
      </c>
      <c r="C37" s="576" t="s">
        <v>51</v>
      </c>
      <c r="D37" s="576" t="s">
        <v>707</v>
      </c>
      <c r="E37" s="576" t="s">
        <v>1379</v>
      </c>
      <c r="F37" s="576" t="s">
        <v>1699</v>
      </c>
    </row>
    <row r="38" spans="1:6" s="575" customFormat="1" x14ac:dyDescent="0.25">
      <c r="A38" s="588" t="str">
        <f t="shared" si="1"/>
        <v>03-C-033</v>
      </c>
      <c r="B38" s="867" t="str">
        <f t="shared" ca="1" si="2"/>
        <v>april</v>
      </c>
      <c r="C38" s="575" t="s">
        <v>52</v>
      </c>
      <c r="D38" s="575" t="s">
        <v>708</v>
      </c>
      <c r="E38" s="575" t="s">
        <v>708</v>
      </c>
      <c r="F38" s="575" t="s">
        <v>708</v>
      </c>
    </row>
    <row r="39" spans="1:6" s="576" customFormat="1" x14ac:dyDescent="0.25">
      <c r="A39" s="587" t="str">
        <f t="shared" si="1"/>
        <v>03-C-034</v>
      </c>
      <c r="B39" s="868" t="str">
        <f t="shared" ca="1" si="2"/>
        <v>mei</v>
      </c>
      <c r="C39" s="576" t="s">
        <v>48</v>
      </c>
      <c r="D39" s="576" t="s">
        <v>709</v>
      </c>
      <c r="E39" s="576" t="s">
        <v>1380</v>
      </c>
      <c r="F39" s="576" t="s">
        <v>1700</v>
      </c>
    </row>
    <row r="40" spans="1:6" s="575" customFormat="1" x14ac:dyDescent="0.25">
      <c r="A40" s="588" t="str">
        <f t="shared" si="1"/>
        <v>03-C-035</v>
      </c>
      <c r="B40" s="867" t="str">
        <f t="shared" ca="1" si="2"/>
        <v>juni</v>
      </c>
      <c r="C40" s="575" t="s">
        <v>53</v>
      </c>
      <c r="D40" s="575" t="s">
        <v>710</v>
      </c>
      <c r="E40" s="575" t="s">
        <v>1381</v>
      </c>
      <c r="F40" s="575" t="s">
        <v>1381</v>
      </c>
    </row>
    <row r="41" spans="1:6" s="576" customFormat="1" x14ac:dyDescent="0.25">
      <c r="A41" s="587" t="str">
        <f t="shared" si="1"/>
        <v>03-C-036</v>
      </c>
      <c r="B41" s="868" t="str">
        <f t="shared" ca="1" si="2"/>
        <v>juli</v>
      </c>
      <c r="C41" s="576" t="s">
        <v>54</v>
      </c>
      <c r="D41" s="576" t="s">
        <v>711</v>
      </c>
      <c r="E41" s="576" t="s">
        <v>1382</v>
      </c>
      <c r="F41" s="576" t="s">
        <v>1382</v>
      </c>
    </row>
    <row r="42" spans="1:6" s="575" customFormat="1" x14ac:dyDescent="0.25">
      <c r="A42" s="588" t="str">
        <f t="shared" si="1"/>
        <v>03-C-037</v>
      </c>
      <c r="B42" s="867" t="str">
        <f t="shared" ca="1" si="2"/>
        <v>augustus</v>
      </c>
      <c r="C42" s="575" t="s">
        <v>55</v>
      </c>
      <c r="D42" s="575" t="s">
        <v>712</v>
      </c>
      <c r="E42" s="575" t="s">
        <v>712</v>
      </c>
      <c r="F42" s="575" t="s">
        <v>1701</v>
      </c>
    </row>
    <row r="43" spans="1:6" s="576" customFormat="1" x14ac:dyDescent="0.25">
      <c r="A43" s="587" t="str">
        <f t="shared" si="1"/>
        <v>03-C-038</v>
      </c>
      <c r="B43" s="868" t="str">
        <f t="shared" ca="1" si="2"/>
        <v>september</v>
      </c>
      <c r="C43" s="576" t="s">
        <v>56</v>
      </c>
      <c r="D43" s="576" t="s">
        <v>713</v>
      </c>
      <c r="E43" s="576" t="s">
        <v>713</v>
      </c>
      <c r="F43" s="576" t="s">
        <v>713</v>
      </c>
    </row>
    <row r="44" spans="1:6" s="575" customFormat="1" x14ac:dyDescent="0.25">
      <c r="A44" s="588" t="str">
        <f t="shared" si="1"/>
        <v>03-C-039</v>
      </c>
      <c r="B44" s="867" t="str">
        <f t="shared" ca="1" si="2"/>
        <v>oktober</v>
      </c>
      <c r="C44" s="575" t="s">
        <v>57</v>
      </c>
      <c r="D44" s="575" t="s">
        <v>714</v>
      </c>
      <c r="E44" s="575" t="s">
        <v>1383</v>
      </c>
      <c r="F44" s="575" t="s">
        <v>1383</v>
      </c>
    </row>
    <row r="45" spans="1:6" s="576" customFormat="1" x14ac:dyDescent="0.25">
      <c r="A45" s="587" t="str">
        <f t="shared" si="1"/>
        <v>03-C-040</v>
      </c>
      <c r="B45" s="868" t="str">
        <f t="shared" ca="1" si="2"/>
        <v>november</v>
      </c>
      <c r="C45" s="576" t="s">
        <v>58</v>
      </c>
      <c r="D45" s="576" t="s">
        <v>715</v>
      </c>
      <c r="E45" s="576" t="s">
        <v>715</v>
      </c>
      <c r="F45" s="576" t="s">
        <v>715</v>
      </c>
    </row>
    <row r="46" spans="1:6" s="575" customFormat="1" x14ac:dyDescent="0.25">
      <c r="A46" s="588" t="str">
        <f t="shared" si="1"/>
        <v>03-C-041</v>
      </c>
      <c r="B46" s="867" t="str">
        <f t="shared" ca="1" si="2"/>
        <v>december</v>
      </c>
      <c r="C46" s="575" t="s">
        <v>59</v>
      </c>
      <c r="D46" s="575" t="s">
        <v>716</v>
      </c>
      <c r="E46" s="575" t="s">
        <v>1384</v>
      </c>
      <c r="F46" s="575" t="s">
        <v>716</v>
      </c>
    </row>
    <row r="47" spans="1:6" s="579" customFormat="1" x14ac:dyDescent="0.25">
      <c r="A47" s="577" t="str">
        <f t="shared" si="1"/>
        <v>03-C-042</v>
      </c>
      <c r="B47" s="871"/>
    </row>
    <row r="48" spans="1:6" s="582" customFormat="1" x14ac:dyDescent="0.25">
      <c r="A48" s="580" t="str">
        <f t="shared" si="1"/>
        <v>03-C-043</v>
      </c>
      <c r="B48" s="870"/>
    </row>
    <row r="49" spans="1:6" s="601" customFormat="1" x14ac:dyDescent="0.25">
      <c r="A49" s="600" t="str">
        <f t="shared" si="1"/>
        <v>03-C-044</v>
      </c>
      <c r="B49" s="865" t="str">
        <f ca="1">INDIRECT(CHAR(64+$C$2)&amp;ROW())</f>
        <v>De Puntentelling</v>
      </c>
      <c r="C49" s="601" t="s">
        <v>69</v>
      </c>
      <c r="D49" s="601" t="s">
        <v>717</v>
      </c>
      <c r="E49" s="601" t="s">
        <v>1385</v>
      </c>
      <c r="F49" s="601" t="s">
        <v>1702</v>
      </c>
    </row>
    <row r="50" spans="1:6" s="575" customFormat="1" x14ac:dyDescent="0.25">
      <c r="A50" s="588" t="str">
        <f t="shared" si="1"/>
        <v>03-C-045</v>
      </c>
      <c r="B50" s="867" t="str">
        <f ca="1">TRIM(INDIRECT(CHAR(64+$C$2)&amp;ROW()))</f>
        <v>Punt</v>
      </c>
      <c r="C50" s="575" t="s">
        <v>723</v>
      </c>
      <c r="D50" s="575" t="s">
        <v>724</v>
      </c>
      <c r="E50" s="575" t="s">
        <v>1386</v>
      </c>
      <c r="F50" s="575" t="s">
        <v>1386</v>
      </c>
    </row>
    <row r="51" spans="1:6" s="576" customFormat="1" x14ac:dyDescent="0.25">
      <c r="A51" s="587" t="str">
        <f t="shared" si="1"/>
        <v>03-C-046</v>
      </c>
      <c r="B51" s="868" t="str">
        <f ca="1">TRIM(INDIRECT(CHAR(64+$C$2)&amp;ROW()))</f>
        <v>Punten</v>
      </c>
      <c r="C51" s="576" t="s">
        <v>99</v>
      </c>
      <c r="D51" s="576" t="s">
        <v>725</v>
      </c>
      <c r="E51" s="576" t="s">
        <v>1387</v>
      </c>
      <c r="F51" s="576" t="s">
        <v>1703</v>
      </c>
    </row>
    <row r="52" spans="1:6" s="582" customFormat="1" x14ac:dyDescent="0.25">
      <c r="A52" s="580" t="str">
        <f t="shared" si="1"/>
        <v>03-C-047</v>
      </c>
      <c r="B52" s="870"/>
      <c r="F52" s="582" t="s">
        <v>330</v>
      </c>
    </row>
    <row r="53" spans="1:6" s="579" customFormat="1" x14ac:dyDescent="0.25">
      <c r="A53" s="577" t="str">
        <f t="shared" si="1"/>
        <v>03-C-048</v>
      </c>
      <c r="B53" s="871"/>
      <c r="F53" s="579" t="s">
        <v>330</v>
      </c>
    </row>
    <row r="54" spans="1:6" s="607" customFormat="1" x14ac:dyDescent="0.25">
      <c r="A54" s="606" t="str">
        <f t="shared" si="1"/>
        <v>03-C-049</v>
      </c>
      <c r="B54" s="874" t="str">
        <f t="shared" ref="B54:B70" ca="1" si="3">TRIM(INDIRECT(CHAR(64+$C$2)&amp;ROW()))</f>
        <v>Het voorspellen van de landen in de finalewedstrijden</v>
      </c>
      <c r="C54" s="607" t="s">
        <v>726</v>
      </c>
      <c r="D54" s="607" t="s">
        <v>939</v>
      </c>
      <c r="E54" s="607" t="s">
        <v>1388</v>
      </c>
      <c r="F54" s="607" t="s">
        <v>1704</v>
      </c>
    </row>
    <row r="55" spans="1:6" s="576" customFormat="1" x14ac:dyDescent="0.25">
      <c r="A55" s="587" t="str">
        <f t="shared" si="1"/>
        <v>03-C-050</v>
      </c>
      <c r="B55" s="868" t="str">
        <f t="shared" ca="1" si="3"/>
        <v>het land hoeft niet op de juiste positie te staan</v>
      </c>
      <c r="C55" s="576" t="s">
        <v>729</v>
      </c>
      <c r="D55" s="576" t="s">
        <v>728</v>
      </c>
      <c r="E55" s="576" t="s">
        <v>1389</v>
      </c>
      <c r="F55" s="576" t="s">
        <v>1705</v>
      </c>
    </row>
    <row r="56" spans="1:6" s="575" customFormat="1" x14ac:dyDescent="0.25">
      <c r="A56" s="588" t="str">
        <f t="shared" si="1"/>
        <v>03-C-051</v>
      </c>
      <c r="B56" s="867" t="str">
        <f t="shared" ca="1" si="3"/>
        <v>het land dient op de juiste positie te staan</v>
      </c>
      <c r="C56" s="575" t="s">
        <v>730</v>
      </c>
      <c r="D56" s="575" t="s">
        <v>727</v>
      </c>
      <c r="E56" s="575" t="s">
        <v>1390</v>
      </c>
      <c r="F56" s="575" t="s">
        <v>1706</v>
      </c>
    </row>
    <row r="57" spans="1:6" s="576" customFormat="1" x14ac:dyDescent="0.25">
      <c r="A57" s="587" t="str">
        <f t="shared" si="1"/>
        <v>03-C-052</v>
      </c>
      <c r="B57" s="868" t="str">
        <f t="shared" ca="1" si="3"/>
        <v>voor het goed voorspellen van de winnaar van het EK.</v>
      </c>
      <c r="C57" s="576" t="s">
        <v>2412</v>
      </c>
      <c r="D57" s="576" t="s">
        <v>2413</v>
      </c>
      <c r="E57" s="576" t="s">
        <v>2414</v>
      </c>
      <c r="F57" s="576" t="s">
        <v>2415</v>
      </c>
    </row>
    <row r="58" spans="1:6" s="575" customFormat="1" x14ac:dyDescent="0.25">
      <c r="A58" s="588" t="str">
        <f t="shared" si="1"/>
        <v>03-C-053</v>
      </c>
      <c r="B58" s="867" t="str">
        <f t="shared" ca="1" si="3"/>
        <v>voor elk goed voorspelde land in de finale</v>
      </c>
      <c r="C58" s="575" t="s">
        <v>731</v>
      </c>
      <c r="D58" s="575" t="s">
        <v>1273</v>
      </c>
      <c r="E58" s="575" t="s">
        <v>1391</v>
      </c>
      <c r="F58" s="575" t="s">
        <v>1707</v>
      </c>
    </row>
    <row r="59" spans="1:6" s="576" customFormat="1" x14ac:dyDescent="0.25">
      <c r="A59" s="587" t="str">
        <f t="shared" si="1"/>
        <v>03-C-054</v>
      </c>
      <c r="B59" s="868" t="str">
        <f t="shared" ca="1" si="3"/>
        <v>voor elk goed voorspelde land in de troostfinale</v>
      </c>
      <c r="C59" s="576" t="s">
        <v>732</v>
      </c>
      <c r="D59" s="576" t="s">
        <v>1274</v>
      </c>
      <c r="E59" s="576" t="s">
        <v>1392</v>
      </c>
      <c r="F59" s="576" t="s">
        <v>1708</v>
      </c>
    </row>
    <row r="60" spans="1:6" s="575" customFormat="1" x14ac:dyDescent="0.25">
      <c r="A60" s="588" t="str">
        <f t="shared" si="1"/>
        <v>03-C-055</v>
      </c>
      <c r="B60" s="867" t="str">
        <f t="shared" ca="1" si="3"/>
        <v>voor elk goed voorspelde land in de halve finales</v>
      </c>
      <c r="C60" s="575" t="s">
        <v>733</v>
      </c>
      <c r="D60" s="575" t="s">
        <v>1275</v>
      </c>
      <c r="E60" s="575" t="s">
        <v>1393</v>
      </c>
      <c r="F60" s="575" t="s">
        <v>1709</v>
      </c>
    </row>
    <row r="61" spans="1:6" s="576" customFormat="1" x14ac:dyDescent="0.25">
      <c r="A61" s="587" t="str">
        <f t="shared" si="1"/>
        <v>03-C-056</v>
      </c>
      <c r="B61" s="868" t="str">
        <f t="shared" ca="1" si="3"/>
        <v>voor elk goed voorspelde land in de kwartfinales</v>
      </c>
      <c r="C61" s="576" t="s">
        <v>734</v>
      </c>
      <c r="D61" s="576" t="s">
        <v>1276</v>
      </c>
      <c r="E61" s="576" t="s">
        <v>1394</v>
      </c>
      <c r="F61" s="576" t="s">
        <v>1710</v>
      </c>
    </row>
    <row r="62" spans="1:6" s="575" customFormat="1" x14ac:dyDescent="0.25">
      <c r="A62" s="588" t="str">
        <f t="shared" si="1"/>
        <v>03-C-057</v>
      </c>
      <c r="B62" s="867" t="str">
        <f t="shared" ca="1" si="3"/>
        <v>voor elk goed voorspelde land in de achtste finales</v>
      </c>
      <c r="C62" s="575" t="s">
        <v>735</v>
      </c>
      <c r="D62" s="575" t="s">
        <v>1277</v>
      </c>
      <c r="E62" s="575" t="s">
        <v>1395</v>
      </c>
      <c r="F62" s="575" t="s">
        <v>1711</v>
      </c>
    </row>
    <row r="63" spans="1:6" s="576" customFormat="1" x14ac:dyDescent="0.25">
      <c r="A63" s="587" t="str">
        <f t="shared" si="1"/>
        <v>03-C-058</v>
      </c>
      <c r="B63" s="868" t="str">
        <f t="shared" ca="1" si="3"/>
        <v>Heeft men het land niet op de juiste positie voorspeld maar het heeft wel de betreffende finaleronde</v>
      </c>
      <c r="C63" s="576" t="s">
        <v>738</v>
      </c>
      <c r="D63" s="576" t="s">
        <v>1278</v>
      </c>
      <c r="E63" s="576" t="s">
        <v>1396</v>
      </c>
      <c r="F63" s="576" t="s">
        <v>1712</v>
      </c>
    </row>
    <row r="64" spans="1:6" s="575" customFormat="1" x14ac:dyDescent="0.25">
      <c r="A64" s="588" t="str">
        <f t="shared" si="1"/>
        <v>03-C-059</v>
      </c>
      <c r="B64" s="867" t="str">
        <f t="shared" ca="1" si="3"/>
        <v>behaald dan ontvangt men alsnog de helft van het aantal punten voor het juist voorspellen van het land.</v>
      </c>
      <c r="C64" s="575" t="s">
        <v>736</v>
      </c>
      <c r="D64" s="575" t="s">
        <v>1279</v>
      </c>
      <c r="E64" s="575" t="s">
        <v>1397</v>
      </c>
      <c r="F64" s="575" t="s">
        <v>1713</v>
      </c>
    </row>
    <row r="65" spans="1:6" s="576" customFormat="1" x14ac:dyDescent="0.25">
      <c r="A65" s="587" t="str">
        <f t="shared" si="1"/>
        <v>03-C-060</v>
      </c>
      <c r="B65" s="868" t="str">
        <f t="shared" ca="1" si="3"/>
        <v>behaald dan ontvangt men alsnog het volledig aantal punten voor het juist voorspellen van het land.</v>
      </c>
      <c r="C65" s="576" t="s">
        <v>737</v>
      </c>
      <c r="D65" s="576" t="s">
        <v>1280</v>
      </c>
      <c r="E65" s="576" t="s">
        <v>1398</v>
      </c>
      <c r="F65" s="576" t="s">
        <v>1714</v>
      </c>
    </row>
    <row r="66" spans="1:6" s="575" customFormat="1" ht="15" customHeight="1" x14ac:dyDescent="0.25">
      <c r="A66" s="588" t="str">
        <f t="shared" si="1"/>
        <v>03-C-061</v>
      </c>
      <c r="B66" s="867" t="str">
        <f t="shared" ca="1" si="3"/>
        <v>Het is niet toegestaan om een land meerdere keren te voorspellen in één finaleronde.</v>
      </c>
      <c r="C66" s="575" t="s">
        <v>740</v>
      </c>
      <c r="D66" s="575" t="s">
        <v>1281</v>
      </c>
      <c r="E66" s="575" t="s">
        <v>1399</v>
      </c>
      <c r="F66" s="575" t="s">
        <v>1715</v>
      </c>
    </row>
    <row r="67" spans="1:6" s="576" customFormat="1" x14ac:dyDescent="0.25">
      <c r="A67" s="587" t="str">
        <f t="shared" si="1"/>
        <v>03-C-062</v>
      </c>
      <c r="B67" s="868" t="str">
        <f t="shared" ca="1" si="3"/>
        <v>Het is toegestaan om een land meerdere keren te voorspellen in één finaleronde.</v>
      </c>
      <c r="C67" s="576" t="s">
        <v>739</v>
      </c>
      <c r="D67" s="576" t="s">
        <v>1282</v>
      </c>
      <c r="E67" s="576" t="s">
        <v>1400</v>
      </c>
      <c r="F67" s="576" t="s">
        <v>1716</v>
      </c>
    </row>
    <row r="68" spans="1:6" s="575" customFormat="1" x14ac:dyDescent="0.25">
      <c r="A68" s="588" t="str">
        <f t="shared" si="1"/>
        <v>03-C-063</v>
      </c>
      <c r="B68" s="867" t="str">
        <f t="shared" ca="1" si="3"/>
        <v>Punten voor het goed voorspellen van een land in de finaleronden worden pas meegeteld op het moment dat</v>
      </c>
      <c r="C68" s="575" t="s">
        <v>743</v>
      </c>
      <c r="D68" s="575" t="s">
        <v>1283</v>
      </c>
      <c r="E68" s="575" t="s">
        <v>1401</v>
      </c>
      <c r="F68" s="575" t="s">
        <v>1717</v>
      </c>
    </row>
    <row r="69" spans="1:6" s="576" customFormat="1" x14ac:dyDescent="0.25">
      <c r="A69" s="587" t="str">
        <f t="shared" si="1"/>
        <v>03-C-064</v>
      </c>
      <c r="B69" s="868" t="str">
        <f t="shared" ca="1" si="3"/>
        <v>de uitslag van de betreffende wedstrijd bekend is.</v>
      </c>
      <c r="C69" s="576" t="s">
        <v>741</v>
      </c>
      <c r="D69" s="576" t="s">
        <v>1284</v>
      </c>
      <c r="E69" s="576" t="s">
        <v>1402</v>
      </c>
      <c r="F69" s="576" t="s">
        <v>1718</v>
      </c>
    </row>
    <row r="70" spans="1:6" s="575" customFormat="1" x14ac:dyDescent="0.25">
      <c r="A70" s="588" t="str">
        <f t="shared" si="1"/>
        <v>03-C-065</v>
      </c>
      <c r="B70" s="867" t="str">
        <f t="shared" ca="1" si="3"/>
        <v>de uitslag van de betreffende wedstrijd bekend is of als het voorspelde land zijn wedstrijd heeft gespeeld.</v>
      </c>
      <c r="C70" s="575" t="s">
        <v>742</v>
      </c>
      <c r="D70" s="575" t="s">
        <v>744</v>
      </c>
      <c r="E70" s="575" t="s">
        <v>1403</v>
      </c>
      <c r="F70" s="575" t="s">
        <v>1719</v>
      </c>
    </row>
    <row r="71" spans="1:6" s="579" customFormat="1" x14ac:dyDescent="0.25">
      <c r="A71" s="577" t="str">
        <f t="shared" si="1"/>
        <v>03-C-066</v>
      </c>
      <c r="B71" s="871"/>
      <c r="F71" s="579" t="s">
        <v>330</v>
      </c>
    </row>
    <row r="72" spans="1:6" s="582" customFormat="1" x14ac:dyDescent="0.25">
      <c r="A72" s="580" t="str">
        <f t="shared" si="1"/>
        <v>03-C-067</v>
      </c>
      <c r="B72" s="870"/>
      <c r="F72" s="582" t="s">
        <v>330</v>
      </c>
    </row>
    <row r="73" spans="1:6" s="609" customFormat="1" x14ac:dyDescent="0.25">
      <c r="A73" s="608" t="str">
        <f t="shared" si="1"/>
        <v>03-C-068</v>
      </c>
      <c r="B73" s="875" t="str">
        <f ca="1">TRIM(INDIRECT(CHAR(64+$C$2)&amp;ROW()))</f>
        <v>Het voorspellen van de eindstand in de groep</v>
      </c>
      <c r="C73" s="609" t="s">
        <v>745</v>
      </c>
      <c r="D73" s="609" t="s">
        <v>1231</v>
      </c>
      <c r="E73" s="609" t="s">
        <v>1404</v>
      </c>
      <c r="F73" s="609" t="s">
        <v>1720</v>
      </c>
    </row>
    <row r="74" spans="1:6" s="575" customFormat="1" x14ac:dyDescent="0.25">
      <c r="A74" s="588" t="str">
        <f t="shared" si="1"/>
        <v>03-C-069</v>
      </c>
      <c r="B74" s="867" t="str">
        <f ca="1">TRIM(INDIRECT(CHAR(64+$C$2)&amp;ROW()))</f>
        <v>voor elk goed voorspelde land bij de eindstand in de groep.</v>
      </c>
      <c r="C74" s="575" t="s">
        <v>746</v>
      </c>
      <c r="D74" s="575" t="s">
        <v>828</v>
      </c>
      <c r="E74" s="575" t="s">
        <v>1405</v>
      </c>
      <c r="F74" s="575" t="s">
        <v>1721</v>
      </c>
    </row>
    <row r="75" spans="1:6" s="576" customFormat="1" x14ac:dyDescent="0.25">
      <c r="A75" s="587" t="str">
        <f t="shared" ref="A75:A166" si="4">LEFT(A74,5)&amp;RIGHT("000"&amp;RIGHT(A74,3)*1+1,3)</f>
        <v>03-C-070</v>
      </c>
      <c r="B75" s="868" t="str">
        <f ca="1">TRIM(INDIRECT(CHAR(64+$C$2)&amp;ROW()))</f>
        <v>Elk land mag maar één keer ingevuld worden bij de voorspelling van de eindstand in de groep.</v>
      </c>
      <c r="C75" s="576" t="s">
        <v>747</v>
      </c>
      <c r="D75" s="576" t="s">
        <v>955</v>
      </c>
      <c r="E75" s="576" t="s">
        <v>1406</v>
      </c>
      <c r="F75" s="576" t="s">
        <v>1722</v>
      </c>
    </row>
    <row r="76" spans="1:6" s="575" customFormat="1" x14ac:dyDescent="0.25">
      <c r="A76" s="588" t="str">
        <f t="shared" si="4"/>
        <v>03-C-071</v>
      </c>
      <c r="B76" s="867" t="str">
        <f ca="1">TRIM(INDIRECT(CHAR(64+$C$2)&amp;ROW()))</f>
        <v>De punten voor elke juiste voorspelling worden pas opgeteld als de laatste wedstrijd van de groep is gespeeld.</v>
      </c>
      <c r="C76" s="575" t="s">
        <v>830</v>
      </c>
      <c r="D76" s="575" t="s">
        <v>829</v>
      </c>
      <c r="E76" s="575" t="s">
        <v>1407</v>
      </c>
      <c r="F76" s="575" t="s">
        <v>1723</v>
      </c>
    </row>
    <row r="77" spans="1:6" s="579" customFormat="1" x14ac:dyDescent="0.25">
      <c r="A77" s="577" t="str">
        <f t="shared" si="4"/>
        <v>03-C-072</v>
      </c>
      <c r="B77" s="871"/>
      <c r="F77" s="579" t="s">
        <v>330</v>
      </c>
    </row>
    <row r="78" spans="1:6" s="582" customFormat="1" x14ac:dyDescent="0.25">
      <c r="A78" s="580" t="str">
        <f t="shared" si="4"/>
        <v>03-C-073</v>
      </c>
      <c r="B78" s="870"/>
      <c r="F78" s="582" t="s">
        <v>330</v>
      </c>
    </row>
    <row r="79" spans="1:6" s="609" customFormat="1" x14ac:dyDescent="0.25">
      <c r="A79" s="608" t="str">
        <f t="shared" si="4"/>
        <v>03-C-074</v>
      </c>
      <c r="B79" s="875" t="str">
        <f t="shared" ref="B79:B84" ca="1" si="5">TRIM(INDIRECT(CHAR(64+$C$2)&amp;ROW()))</f>
        <v>Het voorspellen van de TOTO</v>
      </c>
      <c r="C79" s="609" t="s">
        <v>749</v>
      </c>
      <c r="D79" s="609" t="s">
        <v>751</v>
      </c>
      <c r="E79" s="609" t="s">
        <v>1408</v>
      </c>
      <c r="F79" s="609" t="s">
        <v>1724</v>
      </c>
    </row>
    <row r="80" spans="1:6" s="575" customFormat="1" x14ac:dyDescent="0.25">
      <c r="A80" s="588" t="str">
        <f t="shared" si="4"/>
        <v>03-C-075</v>
      </c>
      <c r="B80" s="867" t="str">
        <f t="shared" ca="1" si="5"/>
        <v>voor het goed voorspellen van de TOTO (winst / verlies of gelijkspel).</v>
      </c>
      <c r="C80" s="575" t="s">
        <v>750</v>
      </c>
      <c r="D80" s="575" t="s">
        <v>752</v>
      </c>
      <c r="E80" s="575" t="s">
        <v>1409</v>
      </c>
      <c r="F80" s="575" t="s">
        <v>1725</v>
      </c>
    </row>
    <row r="81" spans="1:6" s="576" customFormat="1" x14ac:dyDescent="0.25">
      <c r="A81" s="587" t="str">
        <f t="shared" si="4"/>
        <v>03-C-076</v>
      </c>
      <c r="B81" s="868" t="str">
        <f t="shared" ca="1" si="5"/>
        <v>Bij de finalewedstrijden is het niet noodzakelijk om de landen juist voorspeld te hebben om aanspraak te maken</v>
      </c>
      <c r="C81" s="576" t="s">
        <v>2015</v>
      </c>
      <c r="D81" s="576" t="s">
        <v>940</v>
      </c>
      <c r="E81" s="576" t="s">
        <v>1410</v>
      </c>
      <c r="F81" s="576" t="s">
        <v>1726</v>
      </c>
    </row>
    <row r="82" spans="1:6" s="575" customFormat="1" x14ac:dyDescent="0.25">
      <c r="A82" s="588" t="str">
        <f t="shared" si="4"/>
        <v>03-C-077</v>
      </c>
      <c r="B82" s="867" t="str">
        <f t="shared" ca="1" si="5"/>
        <v>Bij de finalewedstrijden dient men één of beide landen juist voorspeld te hebben om aanspraak te maken</v>
      </c>
      <c r="C82" s="575" t="s">
        <v>2016</v>
      </c>
      <c r="D82" s="575" t="s">
        <v>941</v>
      </c>
      <c r="E82" s="575" t="s">
        <v>1411</v>
      </c>
      <c r="F82" s="575" t="s">
        <v>1727</v>
      </c>
    </row>
    <row r="83" spans="1:6" s="576" customFormat="1" x14ac:dyDescent="0.25">
      <c r="A83" s="587" t="str">
        <f t="shared" si="4"/>
        <v>03-C-078</v>
      </c>
      <c r="B83" s="868" t="str">
        <f t="shared" ca="1" si="5"/>
        <v>Bij de finalewedstrijden dient men beide landen juist voorspeld te hebben om aanspraak te maken</v>
      </c>
      <c r="C83" s="576" t="s">
        <v>2017</v>
      </c>
      <c r="D83" s="576" t="s">
        <v>942</v>
      </c>
      <c r="E83" s="576" t="s">
        <v>1412</v>
      </c>
      <c r="F83" s="576" t="s">
        <v>1728</v>
      </c>
    </row>
    <row r="84" spans="1:6" s="575" customFormat="1" x14ac:dyDescent="0.25">
      <c r="A84" s="588" t="str">
        <f t="shared" si="4"/>
        <v>03-C-079</v>
      </c>
      <c r="B84" s="867" t="str">
        <f t="shared" ca="1" si="5"/>
        <v>op de punten voor het juist voorspellen van de TOTO.</v>
      </c>
      <c r="C84" s="575" t="s">
        <v>2018</v>
      </c>
      <c r="D84" s="575" t="s">
        <v>753</v>
      </c>
      <c r="E84" s="575" t="s">
        <v>1413</v>
      </c>
      <c r="F84" s="575" t="s">
        <v>1729</v>
      </c>
    </row>
    <row r="85" spans="1:6" s="579" customFormat="1" x14ac:dyDescent="0.25">
      <c r="A85" s="577" t="str">
        <f t="shared" si="4"/>
        <v>03-C-080</v>
      </c>
      <c r="B85" s="871"/>
      <c r="F85" s="579" t="s">
        <v>330</v>
      </c>
    </row>
    <row r="86" spans="1:6" s="582" customFormat="1" x14ac:dyDescent="0.25">
      <c r="A86" s="580" t="str">
        <f t="shared" si="4"/>
        <v>03-C-081</v>
      </c>
      <c r="B86" s="870"/>
      <c r="F86" s="582" t="s">
        <v>330</v>
      </c>
    </row>
    <row r="87" spans="1:6" s="609" customFormat="1" x14ac:dyDescent="0.25">
      <c r="A87" s="608" t="str">
        <f t="shared" si="4"/>
        <v>03-C-082</v>
      </c>
      <c r="B87" s="875" t="str">
        <f t="shared" ref="B87:B106" ca="1" si="6">TRIM(INDIRECT(CHAR(64+$C$2)&amp;ROW()))</f>
        <v>Het voorspellen van de uitslag</v>
      </c>
      <c r="C87" s="609" t="s">
        <v>748</v>
      </c>
      <c r="D87" s="609" t="s">
        <v>754</v>
      </c>
      <c r="E87" s="609" t="s">
        <v>1414</v>
      </c>
      <c r="F87" s="609" t="s">
        <v>1730</v>
      </c>
    </row>
    <row r="88" spans="1:6" s="575" customFormat="1" x14ac:dyDescent="0.25">
      <c r="A88" s="588" t="str">
        <f t="shared" si="4"/>
        <v>03-C-083</v>
      </c>
      <c r="B88" s="867" t="str">
        <f t="shared" ca="1" si="6"/>
        <v>voor het goed voorspellen van het aantal gescoorde doelpunten per spelend team.</v>
      </c>
      <c r="C88" s="575" t="s">
        <v>755</v>
      </c>
      <c r="D88" s="575" t="s">
        <v>756</v>
      </c>
      <c r="E88" s="575" t="s">
        <v>1415</v>
      </c>
      <c r="F88" s="575" t="s">
        <v>1731</v>
      </c>
    </row>
    <row r="89" spans="1:6" s="576" customFormat="1" x14ac:dyDescent="0.25">
      <c r="A89" s="587" t="str">
        <f t="shared" si="4"/>
        <v>03-C-084</v>
      </c>
      <c r="B89" s="868" t="str">
        <f t="shared" ca="1" si="6"/>
        <v>voor het goed voorspellen van het aantal gescoorde doelpunten per spelend team, mits de TOTO juist</v>
      </c>
      <c r="C89" s="576" t="s">
        <v>2000</v>
      </c>
      <c r="D89" s="576" t="s">
        <v>758</v>
      </c>
      <c r="E89" s="576" t="s">
        <v>1416</v>
      </c>
      <c r="F89" s="576" t="s">
        <v>1732</v>
      </c>
    </row>
    <row r="90" spans="1:6" s="575" customFormat="1" x14ac:dyDescent="0.25">
      <c r="A90" s="588" t="str">
        <f t="shared" si="4"/>
        <v>03-C-085</v>
      </c>
      <c r="B90" s="867" t="str">
        <f t="shared" ca="1" si="6"/>
        <v>is voorspeld.</v>
      </c>
      <c r="C90" s="575" t="s">
        <v>2001</v>
      </c>
      <c r="D90" s="575" t="s">
        <v>757</v>
      </c>
      <c r="E90" s="575" t="s">
        <v>1417</v>
      </c>
      <c r="F90" s="575" t="s">
        <v>1733</v>
      </c>
    </row>
    <row r="91" spans="1:6" s="576" customFormat="1" x14ac:dyDescent="0.25">
      <c r="A91" s="587" t="str">
        <f t="shared" si="4"/>
        <v>03-C-086</v>
      </c>
      <c r="B91" s="868" t="str">
        <f t="shared" ca="1" si="6"/>
        <v>aftrek voor elk doelpunt dat de voorspelling afwijkt van de uitslag.</v>
      </c>
      <c r="C91" s="576" t="s">
        <v>759</v>
      </c>
      <c r="D91" s="576" t="s">
        <v>760</v>
      </c>
      <c r="E91" s="576" t="s">
        <v>1418</v>
      </c>
      <c r="F91" s="576" t="s">
        <v>1734</v>
      </c>
    </row>
    <row r="92" spans="1:6" s="575" customFormat="1" x14ac:dyDescent="0.25">
      <c r="A92" s="588" t="str">
        <f t="shared" si="4"/>
        <v>03-C-087</v>
      </c>
      <c r="B92" s="867" t="str">
        <f t="shared" ca="1" si="6"/>
        <v>aftrek voor elk doelpunt dat de voorspelling afwijkt van de uitslag (van het juist voorspelde land).</v>
      </c>
      <c r="C92" s="575" t="s">
        <v>766</v>
      </c>
      <c r="D92" s="575" t="s">
        <v>765</v>
      </c>
      <c r="E92" s="575" t="s">
        <v>1419</v>
      </c>
      <c r="F92" s="575" t="s">
        <v>1735</v>
      </c>
    </row>
    <row r="93" spans="1:6" s="576" customFormat="1" x14ac:dyDescent="0.25">
      <c r="A93" s="587" t="str">
        <f t="shared" si="4"/>
        <v>03-C-088</v>
      </c>
      <c r="B93" s="868" t="str">
        <f t="shared" ca="1" si="6"/>
        <v>Men ontvangt standaard ### $$$ voor elk land tijdens de groepswedstrijden, mits de TOTO juist is.</v>
      </c>
      <c r="C93" s="576" t="s">
        <v>1064</v>
      </c>
      <c r="D93" s="576" t="s">
        <v>1076</v>
      </c>
      <c r="E93" s="576" t="s">
        <v>1420</v>
      </c>
      <c r="F93" s="576" t="s">
        <v>1736</v>
      </c>
    </row>
    <row r="94" spans="1:6" s="575" customFormat="1" x14ac:dyDescent="0.25">
      <c r="A94" s="588" t="str">
        <f t="shared" si="4"/>
        <v>03-C-089</v>
      </c>
      <c r="B94" s="867" t="str">
        <f t="shared" ca="1" si="6"/>
        <v>Men ontvangt standaard ### $$$ voor elk land tijdens de groepswedstrijden.</v>
      </c>
      <c r="C94" s="575" t="s">
        <v>1065</v>
      </c>
      <c r="D94" s="575" t="s">
        <v>1077</v>
      </c>
      <c r="E94" s="575" t="s">
        <v>1421</v>
      </c>
      <c r="F94" s="575" t="s">
        <v>1737</v>
      </c>
    </row>
    <row r="95" spans="1:6" s="576" customFormat="1" x14ac:dyDescent="0.25">
      <c r="A95" s="587" t="str">
        <f t="shared" si="4"/>
        <v>03-C-090</v>
      </c>
      <c r="B95" s="868" t="str">
        <f t="shared" ca="1" si="6"/>
        <v>Men ontvangt standaard ### $$$ per groepswedstrijd, mits de TOTO juist is.</v>
      </c>
      <c r="C95" s="576" t="s">
        <v>1066</v>
      </c>
      <c r="D95" s="576" t="s">
        <v>1078</v>
      </c>
      <c r="E95" s="576" t="s">
        <v>1422</v>
      </c>
      <c r="F95" s="576" t="s">
        <v>1738</v>
      </c>
    </row>
    <row r="96" spans="1:6" s="575" customFormat="1" x14ac:dyDescent="0.25">
      <c r="A96" s="588" t="str">
        <f t="shared" si="4"/>
        <v>03-C-091</v>
      </c>
      <c r="B96" s="867" t="str">
        <f t="shared" ca="1" si="6"/>
        <v>Men ontvangt standaard ### $$$ per groepswedstrijd.</v>
      </c>
      <c r="C96" s="575" t="s">
        <v>1067</v>
      </c>
      <c r="D96" s="575" t="s">
        <v>1079</v>
      </c>
      <c r="E96" s="575" t="s">
        <v>1423</v>
      </c>
      <c r="F96" s="575" t="s">
        <v>1739</v>
      </c>
    </row>
    <row r="97" spans="1:6" s="576" customFormat="1" x14ac:dyDescent="0.25">
      <c r="A97" s="587" t="str">
        <f t="shared" si="4"/>
        <v>03-C-092</v>
      </c>
      <c r="B97" s="868" t="str">
        <f t="shared" ca="1" si="6"/>
        <v>Men ontvangt standaard ### $$$ per finalewedstrijd, mits de TOTO juist is.</v>
      </c>
      <c r="C97" s="576" t="s">
        <v>1068</v>
      </c>
      <c r="D97" s="576" t="s">
        <v>1080</v>
      </c>
      <c r="E97" s="576" t="s">
        <v>1424</v>
      </c>
      <c r="F97" s="576" t="s">
        <v>1740</v>
      </c>
    </row>
    <row r="98" spans="1:6" s="575" customFormat="1" x14ac:dyDescent="0.25">
      <c r="A98" s="588" t="str">
        <f t="shared" si="4"/>
        <v>03-C-093</v>
      </c>
      <c r="B98" s="867" t="str">
        <f t="shared" ca="1" si="6"/>
        <v>Men ontvangt standaard ### $$$ per finalewedstrijd.</v>
      </c>
      <c r="C98" s="575" t="s">
        <v>1069</v>
      </c>
      <c r="D98" s="575" t="s">
        <v>1081</v>
      </c>
      <c r="E98" s="575" t="s">
        <v>1425</v>
      </c>
      <c r="F98" s="575" t="s">
        <v>1741</v>
      </c>
    </row>
    <row r="99" spans="1:6" s="576" customFormat="1" x14ac:dyDescent="0.25">
      <c r="A99" s="587" t="str">
        <f t="shared" si="4"/>
        <v>03-C-094</v>
      </c>
      <c r="B99" s="868" t="str">
        <f t="shared" ca="1" si="6"/>
        <v>Men ontvangt standaard ### $$$ per finalewedstrijd mits één of beide landen en de TOTO juist zijn.</v>
      </c>
      <c r="C99" s="576" t="s">
        <v>1070</v>
      </c>
      <c r="D99" s="576" t="s">
        <v>1082</v>
      </c>
      <c r="E99" s="576" t="s">
        <v>1426</v>
      </c>
      <c r="F99" s="576" t="s">
        <v>1742</v>
      </c>
    </row>
    <row r="100" spans="1:6" s="575" customFormat="1" x14ac:dyDescent="0.25">
      <c r="A100" s="588" t="str">
        <f t="shared" si="4"/>
        <v>03-C-095</v>
      </c>
      <c r="B100" s="867" t="str">
        <f t="shared" ca="1" si="6"/>
        <v>Men ontvangt standaard ### $$$ per finalewedstrijd mits één of beide landen juist zijn voorspeld.</v>
      </c>
      <c r="C100" s="575" t="s">
        <v>1071</v>
      </c>
      <c r="D100" s="575" t="s">
        <v>1083</v>
      </c>
      <c r="E100" s="575" t="s">
        <v>1427</v>
      </c>
      <c r="F100" s="575" t="s">
        <v>1743</v>
      </c>
    </row>
    <row r="101" spans="1:6" s="576" customFormat="1" x14ac:dyDescent="0.25">
      <c r="A101" s="587" t="str">
        <f t="shared" si="4"/>
        <v>03-C-096</v>
      </c>
      <c r="B101" s="868" t="str">
        <f t="shared" ca="1" si="6"/>
        <v>Men ontvangt standaard ### $$$ per juist voorspelde land tijdens de finalewedstrijden, mits de TOTO juist is.</v>
      </c>
      <c r="C101" s="576" t="s">
        <v>1072</v>
      </c>
      <c r="D101" s="576" t="s">
        <v>1084</v>
      </c>
      <c r="E101" s="576" t="s">
        <v>1428</v>
      </c>
      <c r="F101" s="576" t="s">
        <v>1744</v>
      </c>
    </row>
    <row r="102" spans="1:6" s="575" customFormat="1" x14ac:dyDescent="0.25">
      <c r="A102" s="588" t="str">
        <f t="shared" si="4"/>
        <v>03-C-097</v>
      </c>
      <c r="B102" s="867" t="str">
        <f t="shared" ca="1" si="6"/>
        <v>Men ontvangt standaard ### $$$ per juist voorspelde land tijdens de finalewedstrijden.</v>
      </c>
      <c r="C102" s="575" t="s">
        <v>1073</v>
      </c>
      <c r="D102" s="575" t="s">
        <v>1085</v>
      </c>
      <c r="E102" s="575" t="s">
        <v>1429</v>
      </c>
      <c r="F102" s="575" t="s">
        <v>1745</v>
      </c>
    </row>
    <row r="103" spans="1:6" s="576" customFormat="1" x14ac:dyDescent="0.25">
      <c r="A103" s="587" t="str">
        <f t="shared" si="4"/>
        <v>03-C-098</v>
      </c>
      <c r="B103" s="868" t="str">
        <f t="shared" ca="1" si="6"/>
        <v>Men ontvangt standaard ### $$$ per finalewedstrijd mits beide landen en de TOTO juist zijn voorspeld.</v>
      </c>
      <c r="C103" s="576" t="s">
        <v>1074</v>
      </c>
      <c r="D103" s="576" t="s">
        <v>1086</v>
      </c>
      <c r="E103" s="576" t="s">
        <v>1430</v>
      </c>
      <c r="F103" s="576" t="s">
        <v>1746</v>
      </c>
    </row>
    <row r="104" spans="1:6" s="575" customFormat="1" x14ac:dyDescent="0.25">
      <c r="A104" s="588" t="str">
        <f t="shared" si="4"/>
        <v>03-C-099</v>
      </c>
      <c r="B104" s="867" t="str">
        <f t="shared" ca="1" si="6"/>
        <v>Men ontvangt standaard ### $$$ per finalewedstrijd mits beide landen juist zijn voorspeld.</v>
      </c>
      <c r="C104" s="575" t="s">
        <v>1075</v>
      </c>
      <c r="D104" s="575" t="s">
        <v>1087</v>
      </c>
      <c r="E104" s="575" t="s">
        <v>1431</v>
      </c>
      <c r="F104" s="575" t="s">
        <v>1747</v>
      </c>
    </row>
    <row r="105" spans="1:6" s="576" customFormat="1" x14ac:dyDescent="0.25">
      <c r="A105" s="587" t="str">
        <f t="shared" si="4"/>
        <v>03-C-100</v>
      </c>
      <c r="B105" s="868" t="str">
        <f t="shared" ca="1" si="6"/>
        <v>De aftrek van punten zal nooit hoger zijn dan de standaard verkregen punten.</v>
      </c>
      <c r="C105" s="576" t="s">
        <v>761</v>
      </c>
      <c r="D105" s="576" t="s">
        <v>762</v>
      </c>
      <c r="E105" s="576" t="s">
        <v>1432</v>
      </c>
      <c r="F105" s="576" t="s">
        <v>1748</v>
      </c>
    </row>
    <row r="106" spans="1:6" s="575" customFormat="1" x14ac:dyDescent="0.25">
      <c r="A106" s="588" t="str">
        <f t="shared" si="4"/>
        <v>03-C-101</v>
      </c>
      <c r="B106" s="867" t="str">
        <f t="shared" ca="1" si="6"/>
        <v>De aftrek van punten zal per land nooit hoger zijn dan de standaard verkregen punten per land.</v>
      </c>
      <c r="C106" s="575" t="s">
        <v>763</v>
      </c>
      <c r="D106" s="575" t="s">
        <v>764</v>
      </c>
      <c r="E106" s="575" t="s">
        <v>1433</v>
      </c>
      <c r="F106" s="575" t="s">
        <v>1749</v>
      </c>
    </row>
    <row r="107" spans="1:6" s="579" customFormat="1" x14ac:dyDescent="0.25">
      <c r="A107" s="577" t="str">
        <f t="shared" si="4"/>
        <v>03-C-102</v>
      </c>
      <c r="B107" s="871"/>
      <c r="F107" s="579" t="s">
        <v>330</v>
      </c>
    </row>
    <row r="108" spans="1:6" s="582" customFormat="1" x14ac:dyDescent="0.25">
      <c r="A108" s="580" t="str">
        <f t="shared" si="4"/>
        <v>03-C-103</v>
      </c>
      <c r="B108" s="870"/>
      <c r="F108" s="582" t="s">
        <v>330</v>
      </c>
    </row>
    <row r="109" spans="1:6" s="576" customFormat="1" x14ac:dyDescent="0.25">
      <c r="A109" s="608" t="str">
        <f t="shared" si="4"/>
        <v>03-C-104</v>
      </c>
      <c r="B109" s="875" t="str">
        <f t="shared" ref="B109:B119" ca="1" si="7">TRIM(INDIRECT(CHAR(64+$C$2)&amp;ROW()))</f>
        <v>Het voorspellen van de TOTO en de eindstand</v>
      </c>
      <c r="C109" s="609" t="s">
        <v>2002</v>
      </c>
      <c r="D109" s="609" t="s">
        <v>2003</v>
      </c>
      <c r="E109" s="609" t="s">
        <v>2004</v>
      </c>
      <c r="F109" s="609" t="s">
        <v>2005</v>
      </c>
    </row>
    <row r="110" spans="1:6" s="575" customFormat="1" x14ac:dyDescent="0.25">
      <c r="A110" s="588" t="str">
        <f t="shared" si="4"/>
        <v>03-C-105</v>
      </c>
      <c r="B110" s="867" t="str">
        <f t="shared" ca="1" si="7"/>
        <v>voor het goed voorspellen van de TOTO (winst / verlies of gelijkspel).</v>
      </c>
      <c r="C110" s="953" t="str">
        <f>C80</f>
        <v>voor het goed voorspellen van de TOTO (winst / verlies of gelijkspel).</v>
      </c>
      <c r="D110" s="953" t="str">
        <f>D80</f>
        <v>for correctly predicting the TOTO (win / loss or draw).</v>
      </c>
      <c r="E110" s="953" t="str">
        <f>E80</f>
        <v>für die korrekte Vorhersage des TOTO (Sieg / Niederlage oder Unentschieden).</v>
      </c>
      <c r="F110" s="953" t="str">
        <f>F80</f>
        <v>för ett korrekt förutsägelse av "1X2" (vinst / förlust eller oavgjort).</v>
      </c>
    </row>
    <row r="111" spans="1:6" s="576" customFormat="1" x14ac:dyDescent="0.25">
      <c r="A111" s="587" t="str">
        <f t="shared" si="4"/>
        <v>03-C-106</v>
      </c>
      <c r="B111" s="868" t="str">
        <f t="shared" ca="1" si="7"/>
        <v>voor het goed voorspellen van het aantal gescoorde doelpunten per spelend team.</v>
      </c>
      <c r="C111" s="954" t="str">
        <f t="shared" ref="C111:F113" si="8">C88</f>
        <v>voor het goed voorspellen van het aantal gescoorde doelpunten per spelend team.</v>
      </c>
      <c r="D111" s="954" t="str">
        <f t="shared" si="8"/>
        <v>for correctly predicting the number of goals scored per team.</v>
      </c>
      <c r="E111" s="954" t="str">
        <f t="shared" si="8"/>
        <v>für die korrekte Vorhersage der Anzahl der pro Team erzielten Tore.</v>
      </c>
      <c r="F111" s="954" t="str">
        <f t="shared" si="8"/>
        <v>för att korrekt antal mål per spelande lag har förutspåtts.</v>
      </c>
    </row>
    <row r="112" spans="1:6" s="575" customFormat="1" x14ac:dyDescent="0.25">
      <c r="A112" s="588" t="str">
        <f t="shared" si="4"/>
        <v>03-C-107</v>
      </c>
      <c r="B112" s="867" t="str">
        <f t="shared" ca="1" si="7"/>
        <v>voor het goed voorspellen van het aantal gescoorde doelpunten per spelend team, mits de TOTO juist</v>
      </c>
      <c r="C112" s="953" t="str">
        <f t="shared" si="8"/>
        <v>voor het goed voorspellen van het aantal gescoorde doelpunten per spelend team, mits de TOTO juist</v>
      </c>
      <c r="D112" s="953" t="str">
        <f t="shared" si="8"/>
        <v>for correctly predicting the number of goals scored per team, provided that you have correctly predicted</v>
      </c>
      <c r="E112" s="953" t="str">
        <f t="shared" si="8"/>
        <v>für die korrekte Vorhersage der Anzahl der pro Mannschaft erzielten Tore, vorausgesetzt, Sie haben richtig vorhergesagt</v>
      </c>
      <c r="F112" s="953" t="str">
        <f t="shared" si="8"/>
        <v>för att korrekt antal mål per spelande lag har förutspåtts, förutsagt att du fyllde i rätt</v>
      </c>
    </row>
    <row r="113" spans="1:6" s="576" customFormat="1" x14ac:dyDescent="0.25">
      <c r="A113" s="587" t="str">
        <f t="shared" si="4"/>
        <v>03-C-108</v>
      </c>
      <c r="B113" s="868" t="str">
        <f t="shared" ca="1" si="7"/>
        <v>is voorspeld.</v>
      </c>
      <c r="C113" s="954" t="str">
        <f t="shared" si="8"/>
        <v>is voorspeld.</v>
      </c>
      <c r="D113" s="954" t="str">
        <f t="shared" si="8"/>
        <v>the TOTO.</v>
      </c>
      <c r="E113" s="954" t="str">
        <f t="shared" si="8"/>
        <v>der TOTO.</v>
      </c>
      <c r="F113" s="954" t="str">
        <f t="shared" si="8"/>
        <v>"1X2"</v>
      </c>
    </row>
    <row r="114" spans="1:6" s="575" customFormat="1" x14ac:dyDescent="0.25">
      <c r="A114" s="588" t="str">
        <f t="shared" si="4"/>
        <v>03-C-109</v>
      </c>
      <c r="B114" s="867" t="str">
        <f t="shared" ca="1" si="7"/>
        <v>Bij de finalewedstrijden is het niet noodzakelijk om de landen juist voorspeld te hebben om aanspraak te maken</v>
      </c>
      <c r="C114" s="953" t="str">
        <f t="shared" ref="C114:F116" si="9">C81</f>
        <v>Bij de finalewedstrijden is het niet noodzakelijk om de landen juist voorspeld te hebben om aanspraak te maken</v>
      </c>
      <c r="D114" s="955" t="str">
        <f t="shared" si="9"/>
        <v>In the knockout phase, it is not necessary to have correctly predicted the countries to claim points for</v>
      </c>
      <c r="E114" s="953" t="str">
        <f t="shared" si="9"/>
        <v>In der K.-o.-Phase ist es nicht erforderlich, die Länder richtig vorhergesagt zu haben, um Punkte zu beanspruchen</v>
      </c>
      <c r="F114" s="953" t="str">
        <f t="shared" si="9"/>
        <v>I slutspelet är det inte nödvändigt att ha förutspått rätt länder för att kunna kräva</v>
      </c>
    </row>
    <row r="115" spans="1:6" s="576" customFormat="1" x14ac:dyDescent="0.25">
      <c r="A115" s="587" t="str">
        <f t="shared" si="4"/>
        <v>03-C-110</v>
      </c>
      <c r="B115" s="868" t="str">
        <f t="shared" ca="1" si="7"/>
        <v>Bij de finalewedstrijden dient men één of beide landen juist voorspeld te hebben om aanspraak te maken</v>
      </c>
      <c r="C115" s="954" t="str">
        <f t="shared" si="9"/>
        <v>Bij de finalewedstrijden dient men één of beide landen juist voorspeld te hebben om aanspraak te maken</v>
      </c>
      <c r="D115" s="954" t="str">
        <f t="shared" si="9"/>
        <v>In the knockout phase, one or both countries must have been correctly predicted in order to claim points for</v>
      </c>
      <c r="E115" s="954" t="str">
        <f t="shared" si="9"/>
        <v>In der K.-o.-Phase müssen ein oder beide Länder richtig vorhergesagt worden sein, um Punkte für</v>
      </c>
      <c r="F115" s="954" t="str">
        <f t="shared" si="9"/>
        <v>I slutspelet krävs att ett eller både länder har förutspåtts rätt för att kunna kräva</v>
      </c>
    </row>
    <row r="116" spans="1:6" s="575" customFormat="1" x14ac:dyDescent="0.25">
      <c r="A116" s="588" t="str">
        <f t="shared" si="4"/>
        <v>03-C-111</v>
      </c>
      <c r="B116" s="867" t="str">
        <f t="shared" ca="1" si="7"/>
        <v>Bij de finalewedstrijden dient men beide landen juist voorspeld te hebben om aanspraak te maken</v>
      </c>
      <c r="C116" s="953" t="str">
        <f t="shared" si="9"/>
        <v>Bij de finalewedstrijden dient men beide landen juist voorspeld te hebben om aanspraak te maken</v>
      </c>
      <c r="D116" s="953" t="str">
        <f t="shared" si="9"/>
        <v>In the knockout phase, both countries must have been correctly predicted in order to claim points for</v>
      </c>
      <c r="E116" s="953" t="str">
        <f t="shared" si="9"/>
        <v>In der K.-o.-Phase müssen beide Länder richtig vorhergesagt worden sein, um Punkte für</v>
      </c>
      <c r="F116" s="953" t="str">
        <f t="shared" si="9"/>
        <v>I finalen måste båda länder ha förutspåtts rätt för att kunna kräva</v>
      </c>
    </row>
    <row r="117" spans="1:6" s="576" customFormat="1" x14ac:dyDescent="0.25">
      <c r="A117" s="587" t="str">
        <f t="shared" si="4"/>
        <v>03-C-112</v>
      </c>
      <c r="B117" s="868" t="str">
        <f t="shared" ca="1" si="7"/>
        <v>op de punten voor het juist voorspellen van de TOTO en/of eindstand.</v>
      </c>
      <c r="C117" s="576" t="s">
        <v>2014</v>
      </c>
      <c r="D117" s="576" t="s">
        <v>2006</v>
      </c>
      <c r="E117" s="576" t="s">
        <v>2007</v>
      </c>
      <c r="F117" s="576" t="s">
        <v>2008</v>
      </c>
    </row>
    <row r="118" spans="1:6" s="575" customFormat="1" x14ac:dyDescent="0.25">
      <c r="A118" s="588" t="str">
        <f t="shared" si="4"/>
        <v>03-C-113</v>
      </c>
      <c r="B118" s="867" t="str">
        <f t="shared" ca="1" si="7"/>
        <v>op de punten voor het juist voorspellen van de TOTO.</v>
      </c>
      <c r="C118" s="953" t="str">
        <f>C84</f>
        <v>op de punten voor het juist voorspellen van de TOTO.</v>
      </c>
      <c r="D118" s="953" t="str">
        <f>D84</f>
        <v>predicting the TOTO.</v>
      </c>
      <c r="E118" s="953" t="str">
        <f>E84</f>
        <v>Vorhersage des TOTO.</v>
      </c>
      <c r="F118" s="953" t="str">
        <f>F84</f>
        <v>poäng för att ha förutspått korrekt "1X2".</v>
      </c>
    </row>
    <row r="119" spans="1:6" s="576" customFormat="1" x14ac:dyDescent="0.25">
      <c r="A119" s="587" t="str">
        <f t="shared" si="4"/>
        <v>03-C-114</v>
      </c>
      <c r="B119" s="868" t="str">
        <f t="shared" ca="1" si="7"/>
        <v>Bij het voorspellen van de eindstand krijgt men enkel punten voor het juist voorspelde land tijdens de finales.</v>
      </c>
      <c r="C119" s="576" t="s">
        <v>2009</v>
      </c>
      <c r="D119" s="576" t="s">
        <v>2010</v>
      </c>
      <c r="E119" s="576" t="s">
        <v>2011</v>
      </c>
      <c r="F119" s="576" t="s">
        <v>2261</v>
      </c>
    </row>
    <row r="120" spans="1:6" s="575" customFormat="1" x14ac:dyDescent="0.25">
      <c r="A120" s="588" t="str">
        <f t="shared" si="4"/>
        <v>03-C-115</v>
      </c>
      <c r="B120" s="867" t="str">
        <f ca="1">TRIM(INDIRECT(CHAR(64+$C$2)&amp;ROW()))</f>
        <v>op de punten voor het juist voorspellen van de eindstand.</v>
      </c>
      <c r="C120" s="575" t="s">
        <v>2251</v>
      </c>
      <c r="D120" s="575" t="s">
        <v>2252</v>
      </c>
      <c r="E120" s="575" t="s">
        <v>2253</v>
      </c>
      <c r="F120" s="575" t="s">
        <v>2254</v>
      </c>
    </row>
    <row r="121" spans="1:6" s="591" customFormat="1" x14ac:dyDescent="0.25">
      <c r="A121" s="589" t="str">
        <f t="shared" si="4"/>
        <v>03-C-116</v>
      </c>
      <c r="B121" s="882"/>
    </row>
    <row r="122" spans="1:6" s="592" customFormat="1" x14ac:dyDescent="0.25">
      <c r="A122" s="590" t="str">
        <f t="shared" si="4"/>
        <v>03-C-117</v>
      </c>
      <c r="B122" s="883"/>
    </row>
    <row r="123" spans="1:6" s="579" customFormat="1" x14ac:dyDescent="0.25">
      <c r="A123" s="577" t="str">
        <f t="shared" si="4"/>
        <v>03-C-118</v>
      </c>
      <c r="B123" s="871"/>
      <c r="F123" s="579" t="s">
        <v>330</v>
      </c>
    </row>
    <row r="124" spans="1:6" s="582" customFormat="1" x14ac:dyDescent="0.25">
      <c r="A124" s="580" t="str">
        <f t="shared" si="4"/>
        <v>03-C-119</v>
      </c>
      <c r="B124" s="870"/>
      <c r="F124" s="582" t="s">
        <v>330</v>
      </c>
    </row>
    <row r="125" spans="1:6" s="609" customFormat="1" x14ac:dyDescent="0.25">
      <c r="A125" s="587" t="str">
        <f t="shared" si="4"/>
        <v>03-C-120</v>
      </c>
      <c r="B125" s="875" t="str">
        <f t="shared" ref="B125:B147" ca="1" si="10">TRIM(INDIRECT(CHAR(64+$C$2)&amp;ROW()))</f>
        <v>Bonuspunten</v>
      </c>
      <c r="C125" s="609" t="s">
        <v>767</v>
      </c>
      <c r="D125" s="609" t="s">
        <v>768</v>
      </c>
      <c r="E125" s="609" t="s">
        <v>1434</v>
      </c>
      <c r="F125" s="609" t="s">
        <v>1750</v>
      </c>
    </row>
    <row r="126" spans="1:6" s="575" customFormat="1" x14ac:dyDescent="0.25">
      <c r="A126" s="588" t="str">
        <f t="shared" si="4"/>
        <v>03-C-121</v>
      </c>
      <c r="B126" s="867" t="str">
        <f t="shared" ca="1" si="10"/>
        <v>Bonus$$$ voor iedere finalewedstrijd waarbij beide landen op de juiste positie zijn voorspeld.</v>
      </c>
      <c r="C126" s="575" t="s">
        <v>769</v>
      </c>
      <c r="D126" s="575" t="s">
        <v>1285</v>
      </c>
      <c r="E126" s="575" t="s">
        <v>1435</v>
      </c>
      <c r="F126" s="575" t="s">
        <v>1751</v>
      </c>
    </row>
    <row r="127" spans="1:6" s="576" customFormat="1" x14ac:dyDescent="0.25">
      <c r="A127" s="577" t="str">
        <f t="shared" si="4"/>
        <v>03-C-122</v>
      </c>
      <c r="B127" s="868" t="str">
        <f t="shared" ca="1" si="10"/>
        <v/>
      </c>
    </row>
    <row r="128" spans="1:6" s="575" customFormat="1" x14ac:dyDescent="0.25">
      <c r="A128" s="588" t="str">
        <f t="shared" si="4"/>
        <v>03-C-123</v>
      </c>
      <c r="B128" s="867" t="str">
        <f t="shared" ca="1" si="10"/>
        <v>Bonus$$$ voor iedere finalewedstrijd waarbij zowel de TOTO als de beide landen juist zijn voorspeld.</v>
      </c>
      <c r="C128" s="575" t="s">
        <v>770</v>
      </c>
      <c r="D128" s="575" t="s">
        <v>1286</v>
      </c>
      <c r="E128" s="575" t="s">
        <v>2045</v>
      </c>
      <c r="F128" s="575" t="s">
        <v>1752</v>
      </c>
    </row>
    <row r="129" spans="1:6" s="576" customFormat="1" x14ac:dyDescent="0.25">
      <c r="A129" s="577" t="str">
        <f t="shared" si="4"/>
        <v>03-C-124</v>
      </c>
      <c r="B129" s="868" t="str">
        <f t="shared" ca="1" si="10"/>
        <v/>
      </c>
    </row>
    <row r="130" spans="1:6" s="575" customFormat="1" x14ac:dyDescent="0.25">
      <c r="A130" s="588" t="str">
        <f t="shared" si="4"/>
        <v>03-C-125</v>
      </c>
      <c r="B130" s="867" t="str">
        <f t="shared" ca="1" si="10"/>
        <v>Bonus$$$ voor iedere groepswedstrijd waarbij de uitslag juist is voorspeld.</v>
      </c>
      <c r="C130" s="575" t="s">
        <v>2019</v>
      </c>
      <c r="D130" s="575" t="s">
        <v>2020</v>
      </c>
      <c r="E130" s="575" t="s">
        <v>2021</v>
      </c>
      <c r="F130" s="575" t="s">
        <v>2022</v>
      </c>
    </row>
    <row r="131" spans="1:6" s="576" customFormat="1" x14ac:dyDescent="0.25">
      <c r="A131" s="577" t="str">
        <f t="shared" si="4"/>
        <v>03-C-126</v>
      </c>
      <c r="B131" s="868" t="str">
        <f t="shared" ca="1" si="10"/>
        <v/>
      </c>
    </row>
    <row r="132" spans="1:6" s="575" customFormat="1" x14ac:dyDescent="0.25">
      <c r="A132" s="588" t="str">
        <f t="shared" si="4"/>
        <v>03-C-127</v>
      </c>
      <c r="B132" s="867" t="str">
        <f t="shared" ca="1" si="10"/>
        <v>Bonus$$$ voor iedere groeps- en finalewedstrijd waarbij de uitslag juist is voorspeld.</v>
      </c>
      <c r="C132" s="575" t="s">
        <v>2023</v>
      </c>
      <c r="D132" s="575" t="s">
        <v>2024</v>
      </c>
      <c r="E132" s="575" t="s">
        <v>2025</v>
      </c>
      <c r="F132" s="575" t="s">
        <v>2026</v>
      </c>
    </row>
    <row r="133" spans="1:6" s="576" customFormat="1" x14ac:dyDescent="0.25">
      <c r="A133" s="577" t="str">
        <f t="shared" si="4"/>
        <v>03-C-128</v>
      </c>
      <c r="B133" s="868" t="str">
        <f t="shared" ca="1" si="10"/>
        <v/>
      </c>
    </row>
    <row r="134" spans="1:6" s="575" customFormat="1" x14ac:dyDescent="0.25">
      <c r="A134" s="588" t="str">
        <f t="shared" si="4"/>
        <v>03-C-129</v>
      </c>
      <c r="B134" s="867" t="str">
        <f t="shared" ca="1" si="10"/>
        <v>Bonus$$$ voor iedere groeps- en finalewedstrijd waarbij de uitslag juist is voorspeld</v>
      </c>
      <c r="C134" s="575" t="s">
        <v>2027</v>
      </c>
      <c r="D134" s="575" t="s">
        <v>2028</v>
      </c>
      <c r="E134" s="575" t="s">
        <v>2029</v>
      </c>
      <c r="F134" s="575" t="s">
        <v>2030</v>
      </c>
    </row>
    <row r="135" spans="1:6" s="576" customFormat="1" x14ac:dyDescent="0.25">
      <c r="A135" s="587" t="str">
        <f t="shared" si="4"/>
        <v>03-C-130</v>
      </c>
      <c r="B135" s="868" t="str">
        <f t="shared" ca="1" si="10"/>
        <v>(bij de finalewedstrijden dienen ook één of beide landen juist voorspeld te zijn).</v>
      </c>
      <c r="C135" s="576" t="s">
        <v>2031</v>
      </c>
      <c r="D135" s="576" t="s">
        <v>2032</v>
      </c>
      <c r="E135" s="576" t="s">
        <v>2033</v>
      </c>
      <c r="F135" s="576" t="s">
        <v>2034</v>
      </c>
    </row>
    <row r="136" spans="1:6" s="575" customFormat="1" x14ac:dyDescent="0.25">
      <c r="A136" s="588" t="str">
        <f t="shared" si="4"/>
        <v>03-C-131</v>
      </c>
      <c r="B136" s="867" t="str">
        <f t="shared" ca="1" si="10"/>
        <v>Bonus$$$ voor iedere groeps- en finalewedstrijd waarbij de uitslag juist is voorspeld</v>
      </c>
      <c r="C136" s="953" t="str">
        <f>C134</f>
        <v>Bonus$$$ voor iedere groeps- en finalewedstrijd waarbij de uitslag juist is voorspeld</v>
      </c>
      <c r="D136" s="953" t="str">
        <f>D134</f>
        <v>Bonus $$$ for each group and final match where the result is correctly predicted</v>
      </c>
      <c r="E136" s="953" t="str">
        <f>E134</f>
        <v>Bonus $$$ für jedes Gruppen- und Endspiel, bei dem das Ergebnis korrekt vorhergesagt wird</v>
      </c>
      <c r="F136" s="953" t="str">
        <f>F134</f>
        <v>Bonus $$$ för varje grupp och finalmatch där resultat ar korrekt förutspått</v>
      </c>
    </row>
    <row r="137" spans="1:6" s="576" customFormat="1" x14ac:dyDescent="0.25">
      <c r="A137" s="587" t="str">
        <f t="shared" si="4"/>
        <v>03-C-132</v>
      </c>
      <c r="B137" s="868" t="str">
        <f t="shared" ca="1" si="10"/>
        <v>(bij de finalewedstrijden dienen ook de beide landen juist voorspeld te zijn).</v>
      </c>
      <c r="C137" s="576" t="s">
        <v>776</v>
      </c>
      <c r="D137" s="576" t="s">
        <v>943</v>
      </c>
      <c r="E137" s="576" t="s">
        <v>1436</v>
      </c>
      <c r="F137" s="576" t="s">
        <v>1753</v>
      </c>
    </row>
    <row r="138" spans="1:6" s="575" customFormat="1" x14ac:dyDescent="0.25">
      <c r="A138" s="588" t="str">
        <f t="shared" si="4"/>
        <v>03-C-133</v>
      </c>
      <c r="B138" s="867" t="str">
        <f t="shared" ca="1" si="10"/>
        <v>Bonus$$$ voor iedere groepswedstrijd waarbij het doelpuntenverschil tussen beide teams juist is voorspeld.</v>
      </c>
      <c r="C138" s="575" t="s">
        <v>2104</v>
      </c>
      <c r="D138" s="575" t="s">
        <v>2035</v>
      </c>
      <c r="E138" s="575" t="s">
        <v>2036</v>
      </c>
      <c r="F138" s="575" t="s">
        <v>2037</v>
      </c>
    </row>
    <row r="139" spans="1:6" s="576" customFormat="1" x14ac:dyDescent="0.25">
      <c r="A139" s="577" t="str">
        <f t="shared" si="4"/>
        <v>03-C-134</v>
      </c>
      <c r="B139" s="868" t="str">
        <f t="shared" ca="1" si="10"/>
        <v/>
      </c>
    </row>
    <row r="140" spans="1:6" s="575" customFormat="1" x14ac:dyDescent="0.25">
      <c r="A140" s="588" t="str">
        <f t="shared" si="4"/>
        <v>03-C-135</v>
      </c>
      <c r="B140" s="867" t="str">
        <f t="shared" ca="1" si="10"/>
        <v>Bonus$$$ voor iedere groeps- en finalewedstrijd waarbij het doelpuntenverschil tussen beide teams juist is voorspeld.</v>
      </c>
      <c r="C140" s="575" t="s">
        <v>2105</v>
      </c>
      <c r="D140" s="575" t="s">
        <v>2046</v>
      </c>
      <c r="E140" s="575" t="s">
        <v>2047</v>
      </c>
      <c r="F140" s="575" t="s">
        <v>2038</v>
      </c>
    </row>
    <row r="141" spans="1:6" s="576" customFormat="1" x14ac:dyDescent="0.25">
      <c r="A141" s="587" t="str">
        <f t="shared" si="4"/>
        <v>03-C-136</v>
      </c>
      <c r="B141" s="868" t="str">
        <f t="shared" ca="1" si="10"/>
        <v/>
      </c>
      <c r="D141" s="576" t="s">
        <v>2048</v>
      </c>
      <c r="E141" s="576" t="s">
        <v>2049</v>
      </c>
    </row>
    <row r="142" spans="1:6" s="575" customFormat="1" x14ac:dyDescent="0.25">
      <c r="A142" s="588" t="str">
        <f t="shared" si="4"/>
        <v>03-C-137</v>
      </c>
      <c r="B142" s="867" t="str">
        <f t="shared" ca="1" si="10"/>
        <v>Bonus$$$ voor iedere groeps- en finalewedstrijd waarbij het doelpuntenverschil tussen beide teams juist is voorspeld</v>
      </c>
      <c r="C142" s="575" t="s">
        <v>2106</v>
      </c>
      <c r="D142" s="575" t="s">
        <v>2046</v>
      </c>
      <c r="E142" s="575" t="s">
        <v>2047</v>
      </c>
      <c r="F142" s="575" t="s">
        <v>2039</v>
      </c>
    </row>
    <row r="143" spans="1:6" s="576" customFormat="1" x14ac:dyDescent="0.25">
      <c r="A143" s="577" t="str">
        <f t="shared" si="4"/>
        <v>03-C-138</v>
      </c>
      <c r="B143" s="868" t="str">
        <f t="shared" ca="1" si="10"/>
        <v>(bij de finalewedstrijden dienen ook één of beide landen juist voorspeld te zijn).</v>
      </c>
      <c r="C143" s="954" t="str">
        <f>C135</f>
        <v>(bij de finalewedstrijden dienen ook één of beide landen juist voorspeld te zijn).</v>
      </c>
      <c r="D143" s="954" t="str">
        <f>"predicted "&amp;D135</f>
        <v>predicted (in the knockout phase, one or both countries must also have been correctly predicted).</v>
      </c>
      <c r="E143" s="954" t="str">
        <f>"vorhergesagt wird "&amp;E135</f>
        <v>vorhergesagt wird (In der Ko-Phase müssen ein oder beide Länder ebenfalls korrekt vorhergesagt worden sein).</v>
      </c>
      <c r="F143" s="954" t="str">
        <f>F135</f>
        <v>(I slutspelet måste ett eller båda länderna ha förutspåtts korrekt).</v>
      </c>
    </row>
    <row r="144" spans="1:6" s="575" customFormat="1" x14ac:dyDescent="0.25">
      <c r="A144" s="588" t="str">
        <f t="shared" si="4"/>
        <v>03-C-139</v>
      </c>
      <c r="B144" s="867" t="str">
        <f t="shared" ca="1" si="10"/>
        <v>Bonus$$$ voor iedere groeps- en finalewedstrijd waarbij het doelpuntenverschil tussen beide teams juist is voorspeld</v>
      </c>
      <c r="C144" s="953" t="str">
        <f>C142</f>
        <v>Bonus$$$ voor iedere groeps- en finalewedstrijd waarbij het doelpuntenverschil tussen beide teams juist is voorspeld</v>
      </c>
      <c r="D144" s="953" t="str">
        <f>D142</f>
        <v>Bonus $$$ for every group and final match where the goal difference between the two teams is correctly</v>
      </c>
      <c r="E144" s="953" t="str">
        <f>E142</f>
        <v>Bonus $$$ für jedes Gruppen- und Endspiel, bei dem die Tordifferenz zwischen den beiden Teams richtig</v>
      </c>
      <c r="F144" s="953" t="str">
        <f>F142</f>
        <v>Bonus $$$ för varje grupp och finalmatch där målskillnaden mellan de två lagen är korrekt förutspådd</v>
      </c>
    </row>
    <row r="145" spans="1:6" s="576" customFormat="1" x14ac:dyDescent="0.25">
      <c r="A145" s="587" t="str">
        <f t="shared" si="4"/>
        <v>03-C-140</v>
      </c>
      <c r="B145" s="868" t="str">
        <f t="shared" ca="1" si="10"/>
        <v>(bij de finalewedstrijden dienen ook de beide landen juist voorspeld te zijn).</v>
      </c>
      <c r="C145" s="954" t="str">
        <f>C137</f>
        <v>(bij de finalewedstrijden dienen ook de beide landen juist voorspeld te zijn).</v>
      </c>
      <c r="D145" s="954" t="str">
        <f>"predicted "&amp;D137</f>
        <v>predicted (in the knockout phase, both countries must also have been correctly predicted).</v>
      </c>
      <c r="E145" s="954" t="str">
        <f>"vorhergesagt wird "&amp;E137</f>
        <v>vorhergesagt wird (In der Ko-Phase müssen beide Länder ebenfalls korrekt vorhergesagt worden sein).</v>
      </c>
      <c r="F145" s="954" t="str">
        <f>F137</f>
        <v>(I slutspelet skall båda länderna ha förutspåtts korrekt).</v>
      </c>
    </row>
    <row r="146" spans="1:6" s="575" customFormat="1" x14ac:dyDescent="0.25">
      <c r="A146" s="588" t="str">
        <f t="shared" si="4"/>
        <v>03-C-141</v>
      </c>
      <c r="B146" s="867" t="str">
        <f t="shared" ca="1" si="10"/>
        <v>Bonus$$$ voor het volledig juist voorspellen van alle landen bij de eindstand van één groep.</v>
      </c>
      <c r="C146" s="575" t="s">
        <v>2263</v>
      </c>
      <c r="D146" s="575" t="s">
        <v>2264</v>
      </c>
      <c r="E146" s="575" t="s">
        <v>2040</v>
      </c>
      <c r="F146" s="575" t="s">
        <v>2041</v>
      </c>
    </row>
    <row r="147" spans="1:6" s="576" customFormat="1" x14ac:dyDescent="0.25">
      <c r="A147" s="577" t="str">
        <f t="shared" si="4"/>
        <v>03-C-142</v>
      </c>
      <c r="B147" s="868" t="str">
        <f t="shared" ca="1" si="10"/>
        <v/>
      </c>
    </row>
    <row r="148" spans="1:6" s="575" customFormat="1" x14ac:dyDescent="0.25">
      <c r="A148" s="580" t="str">
        <f t="shared" si="4"/>
        <v>03-C-143</v>
      </c>
      <c r="B148" s="867"/>
      <c r="F148" s="575" t="s">
        <v>330</v>
      </c>
    </row>
    <row r="149" spans="1:6" s="576" customFormat="1" x14ac:dyDescent="0.25">
      <c r="A149" s="577" t="str">
        <f t="shared" si="4"/>
        <v>03-C-144</v>
      </c>
      <c r="B149" s="868"/>
      <c r="F149" s="576" t="s">
        <v>330</v>
      </c>
    </row>
    <row r="150" spans="1:6" s="607" customFormat="1" x14ac:dyDescent="0.25">
      <c r="A150" s="606" t="str">
        <f>LEFT(A127,5)&amp;RIGHT("000"&amp;RIGHT(A127,3)*1+1,3)</f>
        <v>03-C-123</v>
      </c>
      <c r="B150" s="874" t="str">
        <f ca="1">TRIM(INDIRECT(CHAR(64+$C$2)&amp;ROW()))</f>
        <v>De bonusvragen</v>
      </c>
      <c r="C150" s="607" t="s">
        <v>771</v>
      </c>
      <c r="D150" s="607" t="s">
        <v>772</v>
      </c>
      <c r="E150" s="607" t="s">
        <v>1437</v>
      </c>
      <c r="F150" s="607" t="s">
        <v>1754</v>
      </c>
    </row>
    <row r="151" spans="1:6" s="576" customFormat="1" x14ac:dyDescent="0.25">
      <c r="A151" s="587" t="str">
        <f t="shared" si="4"/>
        <v>03-C-124</v>
      </c>
      <c r="B151" s="868" t="str">
        <f ca="1">TRIM(INDIRECT(CHAR(64+$C$2)&amp;ROW()))</f>
        <v>Zie het werkblad met de bonusvragen voor de puntentelling bij het juist beantwoorden van de bonusvragen.</v>
      </c>
      <c r="C151" s="576" t="s">
        <v>831</v>
      </c>
      <c r="D151" s="576" t="s">
        <v>773</v>
      </c>
      <c r="E151" s="576" t="s">
        <v>1438</v>
      </c>
      <c r="F151" s="576" t="s">
        <v>1755</v>
      </c>
    </row>
    <row r="152" spans="1:6" s="575" customFormat="1" x14ac:dyDescent="0.25">
      <c r="A152" s="588" t="str">
        <f t="shared" si="4"/>
        <v>03-C-125</v>
      </c>
      <c r="B152" s="867" t="str">
        <f ca="1">TRIM(INDIRECT(CHAR(64+$C$2)&amp;ROW()))</f>
        <v>Zie de pagina met de bonusvragen voor de puntentelling bij het juist beantwoorden van de bonusvragen.</v>
      </c>
      <c r="C152" s="575" t="s">
        <v>832</v>
      </c>
      <c r="D152" s="575" t="s">
        <v>774</v>
      </c>
      <c r="E152" s="575" t="s">
        <v>1439</v>
      </c>
      <c r="F152" s="575" t="s">
        <v>1756</v>
      </c>
    </row>
    <row r="153" spans="1:6" s="576" customFormat="1" x14ac:dyDescent="0.25">
      <c r="A153" s="587" t="str">
        <f t="shared" si="4"/>
        <v>03-C-126</v>
      </c>
      <c r="B153" s="868" t="str">
        <f ca="1">TRIM(INDIRECT(CHAR(64+$C$2)&amp;ROW()))</f>
        <v>De punten voor de bonusvragen worden pas meegeteld als de winnaar van het EK bekend is.</v>
      </c>
      <c r="C153" s="576" t="s">
        <v>2483</v>
      </c>
      <c r="D153" s="576" t="s">
        <v>2484</v>
      </c>
      <c r="E153" s="576" t="s">
        <v>2485</v>
      </c>
      <c r="F153" s="576" t="s">
        <v>2486</v>
      </c>
    </row>
    <row r="154" spans="1:6" s="575" customFormat="1" x14ac:dyDescent="0.25">
      <c r="A154" s="580" t="str">
        <f t="shared" si="4"/>
        <v>03-C-127</v>
      </c>
      <c r="B154" s="867"/>
      <c r="F154" s="575" t="s">
        <v>330</v>
      </c>
    </row>
    <row r="155" spans="1:6" s="576" customFormat="1" x14ac:dyDescent="0.25">
      <c r="A155" s="587" t="str">
        <f t="shared" si="4"/>
        <v>03-C-128</v>
      </c>
      <c r="B155" s="868" t="str">
        <f ca="1">IF(C1=1,"",TRIM(INDIRECT(CHAR(64+$C$2)&amp;ROW())))</f>
        <v/>
      </c>
      <c r="C155" s="576" t="s">
        <v>1111</v>
      </c>
      <c r="D155" s="576" t="s">
        <v>1110</v>
      </c>
      <c r="E155" s="576" t="s">
        <v>1440</v>
      </c>
      <c r="F155" s="576" t="s">
        <v>1757</v>
      </c>
    </row>
    <row r="156" spans="1:6" s="575" customFormat="1" x14ac:dyDescent="0.25">
      <c r="A156" s="580" t="str">
        <f t="shared" si="4"/>
        <v>03-C-129</v>
      </c>
      <c r="B156" s="867"/>
    </row>
    <row r="157" spans="1:6" s="576" customFormat="1" x14ac:dyDescent="0.25">
      <c r="A157" s="577" t="str">
        <f t="shared" si="4"/>
        <v>03-C-130</v>
      </c>
      <c r="B157" s="868"/>
    </row>
    <row r="158" spans="1:6" s="575" customFormat="1" x14ac:dyDescent="0.25">
      <c r="A158" s="580" t="str">
        <f t="shared" si="4"/>
        <v>03-C-131</v>
      </c>
      <c r="B158" s="867"/>
    </row>
    <row r="159" spans="1:6" s="576" customFormat="1" x14ac:dyDescent="0.25">
      <c r="A159" s="600" t="str">
        <f t="shared" si="4"/>
        <v>03-C-132</v>
      </c>
      <c r="B159" s="865" t="str">
        <f t="shared" ref="B159:B195" ca="1" si="11">TRIM(INDIRECT(CHAR(64+$C$2)&amp;ROW()))</f>
        <v>De Prijzenpot</v>
      </c>
      <c r="C159" s="601" t="s">
        <v>777</v>
      </c>
      <c r="D159" s="601" t="s">
        <v>778</v>
      </c>
      <c r="E159" s="601" t="s">
        <v>1441</v>
      </c>
      <c r="F159" s="601" t="s">
        <v>1647</v>
      </c>
    </row>
    <row r="160" spans="1:6" s="575" customFormat="1" x14ac:dyDescent="0.25">
      <c r="A160" s="588" t="str">
        <f t="shared" si="4"/>
        <v>03-C-133</v>
      </c>
      <c r="B160" s="867" t="str">
        <f t="shared" ca="1" si="11"/>
        <v>Om deel te nemen aan deze pool bent u verplicht de vastgestelde inleg te betalen. De vastgestelde inleg</v>
      </c>
      <c r="C160" s="575" t="s">
        <v>779</v>
      </c>
      <c r="D160" s="575" t="s">
        <v>795</v>
      </c>
      <c r="E160" s="575" t="s">
        <v>1442</v>
      </c>
      <c r="F160" s="575" t="s">
        <v>1758</v>
      </c>
    </row>
    <row r="161" spans="1:6" s="576" customFormat="1" x14ac:dyDescent="0.25">
      <c r="A161" s="587" t="str">
        <f t="shared" si="4"/>
        <v>03-C-134</v>
      </c>
      <c r="B161" s="868" t="str">
        <f t="shared" ca="1" si="11"/>
        <v>voor deze pool is ###.</v>
      </c>
      <c r="C161" s="576" t="s">
        <v>817</v>
      </c>
      <c r="D161" s="576" t="s">
        <v>819</v>
      </c>
      <c r="E161" s="576" t="s">
        <v>1443</v>
      </c>
      <c r="F161" s="576" t="s">
        <v>1759</v>
      </c>
    </row>
    <row r="162" spans="1:6" s="575" customFormat="1" x14ac:dyDescent="0.25">
      <c r="A162" s="588" t="str">
        <f t="shared" si="4"/>
        <v>03-C-135</v>
      </c>
      <c r="B162" s="867" t="str">
        <f t="shared" ca="1" si="11"/>
        <v>De inleg voor deelname aan deze pool is ###. U kunt er ook voor kiezen om zonder inleg deel te nemen</v>
      </c>
      <c r="C162" s="575" t="s">
        <v>818</v>
      </c>
      <c r="D162" s="575" t="s">
        <v>820</v>
      </c>
      <c r="E162" s="575" t="s">
        <v>1444</v>
      </c>
      <c r="F162" s="575" t="s">
        <v>1760</v>
      </c>
    </row>
    <row r="163" spans="1:6" s="576" customFormat="1" x14ac:dyDescent="0.25">
      <c r="A163" s="587" t="str">
        <f t="shared" si="4"/>
        <v>03-C-136</v>
      </c>
      <c r="B163" s="868" t="str">
        <f t="shared" ca="1" si="11"/>
        <v>aan deze pool. U kunt dan ook geen aanspraak maken op de prijzenpot aan het einde van het toernooi¹.</v>
      </c>
      <c r="C163" s="576" t="s">
        <v>793</v>
      </c>
      <c r="D163" s="576" t="s">
        <v>796</v>
      </c>
      <c r="E163" s="576" t="s">
        <v>1445</v>
      </c>
      <c r="F163" s="576" t="s">
        <v>1761</v>
      </c>
    </row>
    <row r="164" spans="1:6" s="575" customFormat="1" x14ac:dyDescent="0.25">
      <c r="A164" s="588" t="str">
        <f t="shared" si="4"/>
        <v>03-C-137</v>
      </c>
      <c r="B164" s="867" t="str">
        <f t="shared" ca="1" si="11"/>
        <v>Deelname aan deze pool is kosteloos. Om aanspraak te maken op de prijzenpot is dan ook geen inleg</v>
      </c>
      <c r="C164" s="575" t="s">
        <v>781</v>
      </c>
      <c r="D164" s="575" t="s">
        <v>798</v>
      </c>
      <c r="E164" s="575" t="s">
        <v>1446</v>
      </c>
      <c r="F164" s="575" t="s">
        <v>1762</v>
      </c>
    </row>
    <row r="165" spans="1:6" s="576" customFormat="1" x14ac:dyDescent="0.25">
      <c r="A165" s="587" t="str">
        <f t="shared" si="4"/>
        <v>03-C-138</v>
      </c>
      <c r="B165" s="868" t="str">
        <f t="shared" ca="1" si="11"/>
        <v>noodzakelijk.</v>
      </c>
      <c r="C165" s="576" t="s">
        <v>780</v>
      </c>
      <c r="D165" s="576" t="s">
        <v>797</v>
      </c>
      <c r="E165" s="576" t="s">
        <v>1447</v>
      </c>
      <c r="F165" s="576" t="s">
        <v>1763</v>
      </c>
    </row>
    <row r="166" spans="1:6" s="575" customFormat="1" x14ac:dyDescent="0.25">
      <c r="A166" s="588" t="str">
        <f t="shared" si="4"/>
        <v>03-C-139</v>
      </c>
      <c r="B166" s="867" t="str">
        <f t="shared" ca="1" si="11"/>
        <v>De inleg dient voor aanvang van het toernooi betaald te worden aan de organisator.</v>
      </c>
      <c r="C166" s="575" t="s">
        <v>836</v>
      </c>
      <c r="D166" s="575" t="s">
        <v>848</v>
      </c>
      <c r="E166" s="575" t="s">
        <v>1448</v>
      </c>
      <c r="F166" s="575" t="s">
        <v>1764</v>
      </c>
    </row>
    <row r="167" spans="1:6" s="576" customFormat="1" x14ac:dyDescent="0.25">
      <c r="A167" s="587" t="str">
        <f t="shared" ref="A167:A232" si="12">LEFT(A166,5)&amp;RIGHT("000"&amp;RIGHT(A166,3)*1+1,3)</f>
        <v>03-C-140</v>
      </c>
      <c r="B167" s="868" t="str">
        <f t="shared" ca="1" si="11"/>
        <v>Is dit niet op tijd gedaan dan zal uw deelname ongeldig worden verklaard.</v>
      </c>
      <c r="C167" s="576" t="s">
        <v>846</v>
      </c>
      <c r="D167" s="576" t="s">
        <v>847</v>
      </c>
      <c r="E167" s="576" t="s">
        <v>1449</v>
      </c>
      <c r="F167" s="576" t="s">
        <v>1765</v>
      </c>
    </row>
    <row r="168" spans="1:6" s="575" customFormat="1" x14ac:dyDescent="0.25">
      <c r="A168" s="588" t="str">
        <f t="shared" si="12"/>
        <v>03-C-141</v>
      </c>
      <c r="B168" s="867" t="str">
        <f t="shared" ca="1" si="11"/>
        <v>De eventuele inleg dient voor aanvang van het toernooi betaald te worden aan de organisator.</v>
      </c>
      <c r="C168" s="575" t="s">
        <v>834</v>
      </c>
      <c r="D168" s="575" t="s">
        <v>851</v>
      </c>
      <c r="E168" s="575" t="s">
        <v>1450</v>
      </c>
      <c r="F168" s="575" t="s">
        <v>1766</v>
      </c>
    </row>
    <row r="169" spans="1:6" s="576" customFormat="1" x14ac:dyDescent="0.25">
      <c r="A169" s="587" t="str">
        <f t="shared" si="12"/>
        <v>03-C-142</v>
      </c>
      <c r="B169" s="868" t="str">
        <f t="shared" ca="1" si="11"/>
        <v>Is dit niet op tijd gedaan dan zal u ook niet deelnemen in de prijzenpot.</v>
      </c>
      <c r="C169" s="576" t="s">
        <v>849</v>
      </c>
      <c r="D169" s="576" t="s">
        <v>850</v>
      </c>
      <c r="E169" s="576" t="s">
        <v>1451</v>
      </c>
      <c r="F169" s="576" t="s">
        <v>1767</v>
      </c>
    </row>
    <row r="170" spans="1:6" s="575" customFormat="1" x14ac:dyDescent="0.25">
      <c r="A170" s="588" t="str">
        <f t="shared" si="12"/>
        <v>03-C-143</v>
      </c>
      <c r="B170" s="867" t="str">
        <f t="shared" ca="1" si="11"/>
        <v>De inleg dient met door middel van een contante betaling te voldoen.</v>
      </c>
      <c r="C170" s="575" t="s">
        <v>840</v>
      </c>
      <c r="D170" s="575" t="s">
        <v>844</v>
      </c>
      <c r="E170" s="575" t="s">
        <v>1452</v>
      </c>
      <c r="F170" s="575" t="s">
        <v>1768</v>
      </c>
    </row>
    <row r="171" spans="1:6" s="576" customFormat="1" x14ac:dyDescent="0.25">
      <c r="A171" s="587" t="str">
        <f t="shared" si="12"/>
        <v>03-C-144</v>
      </c>
      <c r="B171" s="868" t="str">
        <f t="shared" ca="1" si="11"/>
        <v>De inleg dient door middel van een bankoverschrijving overgemaakt worden.</v>
      </c>
      <c r="C171" s="576" t="s">
        <v>838</v>
      </c>
      <c r="D171" s="576" t="s">
        <v>845</v>
      </c>
      <c r="E171" s="576" t="s">
        <v>1453</v>
      </c>
      <c r="F171" s="576" t="s">
        <v>1769</v>
      </c>
    </row>
    <row r="172" spans="1:6" s="575" customFormat="1" x14ac:dyDescent="0.25">
      <c r="A172" s="588" t="str">
        <f t="shared" si="12"/>
        <v>03-C-145</v>
      </c>
      <c r="B172" s="867" t="str">
        <f t="shared" ca="1" si="11"/>
        <v>De inleg dient contant betaald te worden of door middel van een bankoverschrijving overgemaakt te worden.</v>
      </c>
      <c r="C172" s="575" t="s">
        <v>839</v>
      </c>
      <c r="D172" s="575" t="s">
        <v>841</v>
      </c>
      <c r="E172" s="575" t="s">
        <v>1454</v>
      </c>
      <c r="F172" s="575" t="s">
        <v>1770</v>
      </c>
    </row>
    <row r="173" spans="1:6" s="576" customFormat="1" x14ac:dyDescent="0.25">
      <c r="A173" s="587" t="str">
        <f t="shared" si="12"/>
        <v>03-C-146</v>
      </c>
      <c r="B173" s="868" t="str">
        <f t="shared" ca="1" si="11"/>
        <v>De inleg dient betaald te worden via een betaalverzoek welke de organisator u zal toesturen.</v>
      </c>
      <c r="C173" s="576" t="s">
        <v>837</v>
      </c>
      <c r="D173" s="576" t="s">
        <v>842</v>
      </c>
      <c r="E173" s="576" t="s">
        <v>1455</v>
      </c>
      <c r="F173" s="576" t="s">
        <v>1771</v>
      </c>
    </row>
    <row r="174" spans="1:6" s="575" customFormat="1" x14ac:dyDescent="0.25">
      <c r="A174" s="588" t="str">
        <f t="shared" si="12"/>
        <v>03-C-147</v>
      </c>
      <c r="B174" s="867" t="str">
        <f t="shared" ca="1" si="11"/>
        <v>De inleg dient contant betaald te worden of via een betaalverzoek welke de organisator u zal toesturen.</v>
      </c>
      <c r="C174" s="575" t="s">
        <v>835</v>
      </c>
      <c r="D174" s="575" t="s">
        <v>843</v>
      </c>
      <c r="E174" s="575" t="s">
        <v>1456</v>
      </c>
      <c r="F174" s="575" t="s">
        <v>1772</v>
      </c>
    </row>
    <row r="175" spans="1:6" s="576" customFormat="1" x14ac:dyDescent="0.25">
      <c r="A175" s="587" t="str">
        <f t="shared" si="12"/>
        <v>03-C-148</v>
      </c>
      <c r="B175" s="868" t="str">
        <f t="shared" ca="1" si="11"/>
        <v>rekeningnummer</v>
      </c>
      <c r="C175" s="576" t="s">
        <v>429</v>
      </c>
      <c r="D175" s="576" t="s">
        <v>799</v>
      </c>
      <c r="E175" s="576" t="s">
        <v>1457</v>
      </c>
      <c r="F175" s="576" t="s">
        <v>1773</v>
      </c>
    </row>
    <row r="176" spans="1:6" s="575" customFormat="1" x14ac:dyDescent="0.25">
      <c r="A176" s="588" t="str">
        <f t="shared" si="12"/>
        <v>03-C-149</v>
      </c>
      <c r="B176" s="867" t="str">
        <f t="shared" ca="1" si="11"/>
        <v>ter name van</v>
      </c>
      <c r="C176" s="575" t="s">
        <v>430</v>
      </c>
      <c r="D176" s="575" t="s">
        <v>801</v>
      </c>
      <c r="E176" s="575" t="s">
        <v>1458</v>
      </c>
      <c r="F176" s="575" t="s">
        <v>1774</v>
      </c>
    </row>
    <row r="177" spans="1:6" s="576" customFormat="1" x14ac:dyDescent="0.25">
      <c r="A177" s="587" t="str">
        <f t="shared" si="12"/>
        <v>03-C-150</v>
      </c>
      <c r="B177" s="868" t="str">
        <f t="shared" ca="1" si="11"/>
        <v>onder vermelding van</v>
      </c>
      <c r="C177" s="576" t="s">
        <v>431</v>
      </c>
      <c r="D177" s="576" t="s">
        <v>800</v>
      </c>
      <c r="E177" s="576" t="s">
        <v>1459</v>
      </c>
      <c r="F177" s="576" t="s">
        <v>1775</v>
      </c>
    </row>
    <row r="178" spans="1:6" s="575" customFormat="1" x14ac:dyDescent="0.25">
      <c r="A178" s="588" t="str">
        <f t="shared" si="12"/>
        <v>03-C-151</v>
      </c>
      <c r="B178" s="867" t="str">
        <f t="shared" ca="1" si="11"/>
        <v>Van de inleg komt ### ten goede aan het goede doel ($$$).</v>
      </c>
      <c r="C178" s="575" t="s">
        <v>821</v>
      </c>
      <c r="D178" s="575" t="s">
        <v>822</v>
      </c>
      <c r="E178" s="575" t="s">
        <v>1460</v>
      </c>
      <c r="F178" s="575" t="s">
        <v>1776</v>
      </c>
    </row>
    <row r="179" spans="1:6" s="576" customFormat="1" x14ac:dyDescent="0.25">
      <c r="A179" s="587" t="str">
        <f t="shared" si="12"/>
        <v>03-C-152</v>
      </c>
      <c r="B179" s="868" t="str">
        <f t="shared" ca="1" si="11"/>
        <v>Van de inleg gaat ### naar de prijzenpot. Het restant komt ten goede aan de organisatie van de pool.</v>
      </c>
      <c r="C179" s="576" t="s">
        <v>1262</v>
      </c>
      <c r="D179" s="576" t="s">
        <v>1263</v>
      </c>
      <c r="E179" s="576" t="s">
        <v>1461</v>
      </c>
      <c r="F179" s="576" t="s">
        <v>1777</v>
      </c>
    </row>
    <row r="180" spans="1:6" s="575" customFormat="1" x14ac:dyDescent="0.25">
      <c r="A180" s="588" t="str">
        <f t="shared" si="12"/>
        <v>03-C-153</v>
      </c>
      <c r="B180" s="867" t="str">
        <f t="shared" ca="1" si="11"/>
        <v>Voor iedere deelnemer zal de organisatie van de pool ### extra inleggen in de prijzenpot.</v>
      </c>
      <c r="C180" s="575" t="s">
        <v>1264</v>
      </c>
      <c r="D180" s="575" t="s">
        <v>1265</v>
      </c>
      <c r="E180" s="575" t="s">
        <v>1462</v>
      </c>
      <c r="F180" s="575" t="s">
        <v>1778</v>
      </c>
    </row>
    <row r="181" spans="1:6" s="576" customFormat="1" x14ac:dyDescent="0.25">
      <c r="A181" s="587" t="str">
        <f t="shared" si="12"/>
        <v>03-C-154</v>
      </c>
      <c r="B181" s="868" t="str">
        <f t="shared" ca="1" si="11"/>
        <v/>
      </c>
      <c r="F181" s="576" t="s">
        <v>330</v>
      </c>
    </row>
    <row r="182" spans="1:6" s="575" customFormat="1" x14ac:dyDescent="0.25">
      <c r="A182" s="588" t="str">
        <f t="shared" si="12"/>
        <v>03-C-155</v>
      </c>
      <c r="B182" s="867" t="str">
        <f t="shared" ca="1" si="11"/>
        <v>Indien meerdere spelers op dezelfde positie staan en recht hebben op prijzengeld zal de totale som</v>
      </c>
      <c r="C182" s="575" t="s">
        <v>782</v>
      </c>
      <c r="D182" s="575" t="s">
        <v>803</v>
      </c>
      <c r="E182" s="575" t="s">
        <v>1463</v>
      </c>
      <c r="F182" s="575" t="s">
        <v>1779</v>
      </c>
    </row>
    <row r="183" spans="1:6" s="576" customFormat="1" x14ac:dyDescent="0.25">
      <c r="A183" s="587" t="str">
        <f t="shared" si="12"/>
        <v>03-C-156</v>
      </c>
      <c r="B183" s="868" t="str">
        <f t="shared" ca="1" si="11"/>
        <v>van het prijzengeld voor de gedeelde plekken verdeeld worden onder de rechthebbenden.</v>
      </c>
      <c r="C183" s="576" t="s">
        <v>783</v>
      </c>
      <c r="D183" s="576" t="s">
        <v>802</v>
      </c>
      <c r="E183" s="576" t="s">
        <v>1464</v>
      </c>
      <c r="F183" s="576" t="s">
        <v>1780</v>
      </c>
    </row>
    <row r="184" spans="1:6" s="575" customFormat="1" x14ac:dyDescent="0.25">
      <c r="A184" s="588" t="str">
        <f t="shared" si="12"/>
        <v>03-C-157</v>
      </c>
      <c r="B184" s="867" t="str">
        <f t="shared" ca="1" si="11"/>
        <v>De verdeling van het prijzengeld gebeurt als volgt:</v>
      </c>
      <c r="C184" s="575" t="s">
        <v>784</v>
      </c>
      <c r="D184" s="575" t="s">
        <v>804</v>
      </c>
      <c r="E184" s="575" t="s">
        <v>1465</v>
      </c>
      <c r="F184" s="575" t="s">
        <v>1781</v>
      </c>
    </row>
    <row r="185" spans="1:6" s="576" customFormat="1" x14ac:dyDescent="0.25">
      <c r="A185" s="587" t="str">
        <f t="shared" si="12"/>
        <v>03-C-158</v>
      </c>
      <c r="B185" s="868" t="str">
        <f t="shared" ca="1" si="11"/>
        <v>Nr.</v>
      </c>
      <c r="C185" s="576" t="s">
        <v>7</v>
      </c>
      <c r="D185" s="576" t="s">
        <v>805</v>
      </c>
      <c r="E185" s="576" t="s">
        <v>7</v>
      </c>
      <c r="F185" s="576" t="s">
        <v>7</v>
      </c>
    </row>
    <row r="186" spans="1:6" s="575" customFormat="1" x14ac:dyDescent="0.25">
      <c r="A186" s="588" t="str">
        <f t="shared" si="12"/>
        <v>03-C-159</v>
      </c>
      <c r="B186" s="867" t="str">
        <f t="shared" ca="1" si="11"/>
        <v>van de prijzenpot</v>
      </c>
      <c r="C186" s="575" t="s">
        <v>824</v>
      </c>
      <c r="D186" s="575" t="s">
        <v>823</v>
      </c>
      <c r="E186" s="575" t="s">
        <v>1466</v>
      </c>
      <c r="F186" s="575" t="s">
        <v>1782</v>
      </c>
    </row>
    <row r="187" spans="1:6" s="576" customFormat="1" x14ac:dyDescent="0.25">
      <c r="A187" s="587" t="str">
        <f t="shared" si="12"/>
        <v>03-C-160</v>
      </c>
      <c r="B187" s="868" t="str">
        <f t="shared" ca="1" si="11"/>
        <v>Tevens zijn er diverse troostprijzen beschikbaar voor degene die net naast de prijzen grijpen.</v>
      </c>
      <c r="C187" s="576" t="s">
        <v>785</v>
      </c>
      <c r="D187" s="576" t="s">
        <v>809</v>
      </c>
      <c r="E187" s="576" t="s">
        <v>1467</v>
      </c>
      <c r="F187" s="576" t="s">
        <v>1783</v>
      </c>
    </row>
    <row r="188" spans="1:6" s="575" customFormat="1" x14ac:dyDescent="0.25">
      <c r="A188" s="588" t="str">
        <f t="shared" si="12"/>
        <v>03-C-161</v>
      </c>
      <c r="B188" s="867" t="str">
        <f t="shared" ca="1" si="11"/>
        <v>Tevens is er voor de nr. ### een troostprijs beschikbaar als troost voor het net naast de prijzen grijpen.</v>
      </c>
      <c r="C188" s="575" t="s">
        <v>788</v>
      </c>
      <c r="D188" s="575" t="s">
        <v>807</v>
      </c>
      <c r="E188" s="575" t="s">
        <v>1468</v>
      </c>
      <c r="F188" s="575" t="s">
        <v>1784</v>
      </c>
    </row>
    <row r="189" spans="1:6" s="576" customFormat="1" x14ac:dyDescent="0.25">
      <c r="A189" s="587" t="str">
        <f t="shared" si="12"/>
        <v>03-C-162</v>
      </c>
      <c r="B189" s="868" t="str">
        <f t="shared" ca="1" si="11"/>
        <v>Tevens zijn er voor de nr. ### en $$$ troostprijzen beschikbaar voor degene die net naast de prijzen grijpen.</v>
      </c>
      <c r="C189" s="576" t="s">
        <v>786</v>
      </c>
      <c r="D189" s="576" t="s">
        <v>806</v>
      </c>
      <c r="E189" s="576" t="s">
        <v>1469</v>
      </c>
      <c r="F189" s="576" t="s">
        <v>1785</v>
      </c>
    </row>
    <row r="190" spans="1:6" s="575" customFormat="1" x14ac:dyDescent="0.25">
      <c r="A190" s="588" t="str">
        <f t="shared" si="12"/>
        <v>03-C-163</v>
      </c>
      <c r="B190" s="867" t="str">
        <f t="shared" ca="1" si="11"/>
        <v>Tevens zijn er voor de nr. ### t/m $$$ troostprijzen beschikbaar voor degene die net naast de prijzen grijpen.</v>
      </c>
      <c r="C190" s="575" t="s">
        <v>787</v>
      </c>
      <c r="D190" s="575" t="s">
        <v>808</v>
      </c>
      <c r="E190" s="575" t="s">
        <v>1470</v>
      </c>
      <c r="F190" s="575" t="s">
        <v>1786</v>
      </c>
    </row>
    <row r="191" spans="1:6" s="576" customFormat="1" x14ac:dyDescent="0.25">
      <c r="A191" s="587" t="str">
        <f t="shared" si="12"/>
        <v>03-C-164</v>
      </c>
      <c r="B191" s="868" t="str">
        <f t="shared" ca="1" si="11"/>
        <v>Daarnaast zijn er diverse poedelprijzen beschikbaar voor degenen die onderaan eindigen.</v>
      </c>
      <c r="C191" s="576" t="s">
        <v>789</v>
      </c>
      <c r="D191" s="576" t="s">
        <v>810</v>
      </c>
      <c r="E191" s="576" t="s">
        <v>1471</v>
      </c>
      <c r="F191" s="576" t="s">
        <v>1787</v>
      </c>
    </row>
    <row r="192" spans="1:6" s="575" customFormat="1" x14ac:dyDescent="0.25">
      <c r="A192" s="588" t="str">
        <f t="shared" si="12"/>
        <v>03-C-165</v>
      </c>
      <c r="B192" s="867" t="str">
        <f t="shared" ca="1" si="11"/>
        <v>Daarnaast ontvangt de laagst genoteerde deelnemer na afloop een poedelprijs.</v>
      </c>
      <c r="C192" s="575" t="s">
        <v>790</v>
      </c>
      <c r="D192" s="575" t="s">
        <v>811</v>
      </c>
      <c r="E192" s="575" t="s">
        <v>1472</v>
      </c>
      <c r="F192" s="575" t="s">
        <v>1788</v>
      </c>
    </row>
    <row r="193" spans="1:6" s="576" customFormat="1" x14ac:dyDescent="0.25">
      <c r="A193" s="587" t="str">
        <f t="shared" si="12"/>
        <v>03-C-166</v>
      </c>
      <c r="B193" s="868" t="str">
        <f t="shared" ca="1" si="11"/>
        <v>Daarnaast ontvangen de ### laagst genoteerde deelnemers na afloop ieder een poedelprijs.</v>
      </c>
      <c r="C193" s="576" t="s">
        <v>791</v>
      </c>
      <c r="D193" s="576" t="s">
        <v>812</v>
      </c>
      <c r="E193" s="576" t="s">
        <v>1473</v>
      </c>
      <c r="F193" s="576" t="s">
        <v>1789</v>
      </c>
    </row>
    <row r="194" spans="1:6" s="575" customFormat="1" x14ac:dyDescent="0.25">
      <c r="A194" s="588" t="str">
        <f t="shared" si="12"/>
        <v>03-C-167</v>
      </c>
      <c r="B194" s="867" t="str">
        <f t="shared" ca="1" si="11"/>
        <v>Wanneer een niet betalende deelnemer in aanmerkingen komt voor de prijzenpot zal de prijs worden</v>
      </c>
      <c r="C194" s="575" t="s">
        <v>792</v>
      </c>
      <c r="D194" s="575" t="s">
        <v>814</v>
      </c>
      <c r="E194" s="575" t="s">
        <v>1474</v>
      </c>
      <c r="F194" s="575" t="s">
        <v>1938</v>
      </c>
    </row>
    <row r="195" spans="1:6" s="576" customFormat="1" x14ac:dyDescent="0.25">
      <c r="A195" s="587" t="str">
        <f t="shared" si="12"/>
        <v>03-C-168</v>
      </c>
      <c r="B195" s="868" t="str">
        <f t="shared" ca="1" si="11"/>
        <v>doorgeschoven naar de eerst volgende betalende deelnemer op de ranglijst.</v>
      </c>
      <c r="C195" s="576" t="s">
        <v>794</v>
      </c>
      <c r="D195" s="576" t="s">
        <v>813</v>
      </c>
      <c r="E195" s="576" t="s">
        <v>1475</v>
      </c>
      <c r="F195" s="576" t="s">
        <v>1790</v>
      </c>
    </row>
    <row r="196" spans="1:6" s="582" customFormat="1" x14ac:dyDescent="0.25">
      <c r="A196" s="580" t="str">
        <f t="shared" si="12"/>
        <v>03-C-169</v>
      </c>
      <c r="B196" s="870"/>
    </row>
    <row r="197" spans="1:6" s="579" customFormat="1" x14ac:dyDescent="0.25">
      <c r="A197" s="577" t="str">
        <f t="shared" si="12"/>
        <v>03-C-170</v>
      </c>
      <c r="B197" s="871"/>
    </row>
    <row r="198" spans="1:6" s="582" customFormat="1" x14ac:dyDescent="0.25">
      <c r="A198" s="580" t="str">
        <f t="shared" si="12"/>
        <v>03-C-171</v>
      </c>
      <c r="B198" s="870"/>
    </row>
    <row r="199" spans="1:6" s="579" customFormat="1" x14ac:dyDescent="0.25">
      <c r="A199" s="577" t="str">
        <f t="shared" si="12"/>
        <v>03-C-172</v>
      </c>
      <c r="B199" s="871"/>
    </row>
    <row r="200" spans="1:6" s="582" customFormat="1" x14ac:dyDescent="0.25">
      <c r="A200" s="580" t="str">
        <f t="shared" si="12"/>
        <v>03-C-173</v>
      </c>
      <c r="B200" s="872"/>
    </row>
    <row r="201" spans="1:6" s="579" customFormat="1" x14ac:dyDescent="0.25">
      <c r="A201" s="577" t="str">
        <f t="shared" si="12"/>
        <v>03-C-174</v>
      </c>
      <c r="B201" s="873"/>
    </row>
    <row r="202" spans="1:6" s="582" customFormat="1" x14ac:dyDescent="0.25">
      <c r="A202" s="580" t="str">
        <f t="shared" si="12"/>
        <v>03-C-175</v>
      </c>
      <c r="B202" s="872"/>
    </row>
    <row r="203" spans="1:6" s="579" customFormat="1" x14ac:dyDescent="0.25">
      <c r="A203" s="577" t="str">
        <f t="shared" si="12"/>
        <v>03-C-176</v>
      </c>
      <c r="B203" s="873"/>
    </row>
    <row r="204" spans="1:6" s="582" customFormat="1" x14ac:dyDescent="0.25">
      <c r="A204" s="580" t="str">
        <f t="shared" si="12"/>
        <v>03-C-177</v>
      </c>
      <c r="B204" s="872"/>
    </row>
    <row r="205" spans="1:6" s="579" customFormat="1" x14ac:dyDescent="0.25">
      <c r="A205" s="577" t="str">
        <f t="shared" si="12"/>
        <v>03-C-178</v>
      </c>
      <c r="B205" s="873"/>
    </row>
    <row r="206" spans="1:6" s="582" customFormat="1" x14ac:dyDescent="0.25">
      <c r="A206" s="580" t="str">
        <f t="shared" si="12"/>
        <v>03-C-179</v>
      </c>
      <c r="B206" s="872"/>
    </row>
    <row r="207" spans="1:6" s="579" customFormat="1" x14ac:dyDescent="0.25">
      <c r="A207" s="577" t="str">
        <f t="shared" si="12"/>
        <v>03-C-180</v>
      </c>
      <c r="B207" s="873"/>
    </row>
    <row r="208" spans="1:6" s="582" customFormat="1" x14ac:dyDescent="0.25">
      <c r="A208" s="580" t="str">
        <f t="shared" si="12"/>
        <v>03-C-181</v>
      </c>
      <c r="B208" s="872"/>
    </row>
    <row r="209" spans="1:2" s="579" customFormat="1" x14ac:dyDescent="0.25">
      <c r="A209" s="577" t="str">
        <f t="shared" si="12"/>
        <v>03-C-182</v>
      </c>
      <c r="B209" s="873"/>
    </row>
    <row r="210" spans="1:2" s="582" customFormat="1" x14ac:dyDescent="0.25">
      <c r="A210" s="580" t="str">
        <f t="shared" si="12"/>
        <v>03-C-183</v>
      </c>
      <c r="B210" s="872"/>
    </row>
    <row r="211" spans="1:2" s="579" customFormat="1" x14ac:dyDescent="0.25">
      <c r="A211" s="577" t="str">
        <f t="shared" si="12"/>
        <v>03-C-184</v>
      </c>
      <c r="B211" s="873"/>
    </row>
    <row r="212" spans="1:2" s="582" customFormat="1" x14ac:dyDescent="0.25">
      <c r="A212" s="580" t="str">
        <f t="shared" si="12"/>
        <v>03-C-185</v>
      </c>
      <c r="B212" s="872"/>
    </row>
    <row r="213" spans="1:2" s="579" customFormat="1" x14ac:dyDescent="0.25">
      <c r="A213" s="577" t="str">
        <f t="shared" si="12"/>
        <v>03-C-186</v>
      </c>
      <c r="B213" s="873"/>
    </row>
    <row r="214" spans="1:2" s="582" customFormat="1" x14ac:dyDescent="0.25">
      <c r="A214" s="580" t="str">
        <f t="shared" si="12"/>
        <v>03-C-187</v>
      </c>
      <c r="B214" s="872"/>
    </row>
    <row r="215" spans="1:2" s="579" customFormat="1" x14ac:dyDescent="0.25">
      <c r="A215" s="577" t="str">
        <f t="shared" si="12"/>
        <v>03-C-188</v>
      </c>
      <c r="B215" s="873"/>
    </row>
    <row r="216" spans="1:2" s="582" customFormat="1" x14ac:dyDescent="0.25">
      <c r="A216" s="580" t="str">
        <f t="shared" si="12"/>
        <v>03-C-189</v>
      </c>
      <c r="B216" s="872"/>
    </row>
    <row r="217" spans="1:2" s="579" customFormat="1" x14ac:dyDescent="0.25">
      <c r="A217" s="577" t="str">
        <f t="shared" si="12"/>
        <v>03-C-190</v>
      </c>
      <c r="B217" s="873"/>
    </row>
    <row r="218" spans="1:2" s="582" customFormat="1" x14ac:dyDescent="0.25">
      <c r="A218" s="580" t="str">
        <f t="shared" si="12"/>
        <v>03-C-191</v>
      </c>
      <c r="B218" s="872"/>
    </row>
    <row r="219" spans="1:2" s="579" customFormat="1" x14ac:dyDescent="0.25">
      <c r="A219" s="577" t="str">
        <f t="shared" si="12"/>
        <v>03-C-192</v>
      </c>
      <c r="B219" s="873"/>
    </row>
    <row r="220" spans="1:2" s="582" customFormat="1" x14ac:dyDescent="0.25">
      <c r="A220" s="580" t="str">
        <f t="shared" si="12"/>
        <v>03-C-193</v>
      </c>
      <c r="B220" s="872"/>
    </row>
    <row r="221" spans="1:2" s="579" customFormat="1" x14ac:dyDescent="0.25">
      <c r="A221" s="577" t="str">
        <f t="shared" si="12"/>
        <v>03-C-194</v>
      </c>
      <c r="B221" s="873"/>
    </row>
    <row r="222" spans="1:2" s="582" customFormat="1" x14ac:dyDescent="0.25">
      <c r="A222" s="580" t="str">
        <f t="shared" si="12"/>
        <v>03-C-195</v>
      </c>
      <c r="B222" s="872"/>
    </row>
    <row r="223" spans="1:2" s="579" customFormat="1" x14ac:dyDescent="0.25">
      <c r="A223" s="577" t="str">
        <f t="shared" si="12"/>
        <v>03-C-196</v>
      </c>
      <c r="B223" s="873"/>
    </row>
    <row r="224" spans="1:2" s="582" customFormat="1" x14ac:dyDescent="0.25">
      <c r="A224" s="580" t="str">
        <f t="shared" si="12"/>
        <v>03-C-197</v>
      </c>
      <c r="B224" s="872"/>
    </row>
    <row r="225" spans="1:2" s="579" customFormat="1" x14ac:dyDescent="0.25">
      <c r="A225" s="577" t="str">
        <f t="shared" si="12"/>
        <v>03-C-198</v>
      </c>
      <c r="B225" s="873"/>
    </row>
    <row r="226" spans="1:2" s="582" customFormat="1" x14ac:dyDescent="0.25">
      <c r="A226" s="580" t="str">
        <f t="shared" si="12"/>
        <v>03-C-199</v>
      </c>
      <c r="B226" s="872"/>
    </row>
    <row r="227" spans="1:2" s="579" customFormat="1" x14ac:dyDescent="0.25">
      <c r="A227" s="577" t="str">
        <f t="shared" si="12"/>
        <v>03-C-200</v>
      </c>
      <c r="B227" s="873"/>
    </row>
    <row r="228" spans="1:2" s="582" customFormat="1" x14ac:dyDescent="0.25">
      <c r="A228" s="580" t="str">
        <f t="shared" si="12"/>
        <v>03-C-201</v>
      </c>
      <c r="B228" s="872"/>
    </row>
    <row r="229" spans="1:2" s="579" customFormat="1" x14ac:dyDescent="0.25">
      <c r="A229" s="577" t="str">
        <f t="shared" si="12"/>
        <v>03-C-202</v>
      </c>
      <c r="B229" s="873"/>
    </row>
    <row r="230" spans="1:2" s="582" customFormat="1" x14ac:dyDescent="0.25">
      <c r="A230" s="580" t="str">
        <f t="shared" si="12"/>
        <v>03-C-203</v>
      </c>
      <c r="B230" s="872"/>
    </row>
    <row r="231" spans="1:2" s="579" customFormat="1" x14ac:dyDescent="0.25">
      <c r="A231" s="577" t="str">
        <f t="shared" si="12"/>
        <v>03-C-204</v>
      </c>
      <c r="B231" s="873"/>
    </row>
    <row r="232" spans="1:2" s="582" customFormat="1" x14ac:dyDescent="0.25">
      <c r="A232" s="580" t="str">
        <f t="shared" si="12"/>
        <v>03-C-205</v>
      </c>
      <c r="B232" s="872"/>
    </row>
    <row r="233" spans="1:2" s="579" customFormat="1" x14ac:dyDescent="0.25">
      <c r="A233" s="577" t="str">
        <f t="shared" ref="A233:A280" si="13">LEFT(A232,5)&amp;RIGHT("000"&amp;RIGHT(A232,3)*1+1,3)</f>
        <v>03-C-206</v>
      </c>
      <c r="B233" s="873"/>
    </row>
    <row r="234" spans="1:2" s="582" customFormat="1" x14ac:dyDescent="0.25">
      <c r="A234" s="580" t="str">
        <f t="shared" si="13"/>
        <v>03-C-207</v>
      </c>
      <c r="B234" s="872"/>
    </row>
    <row r="235" spans="1:2" s="579" customFormat="1" x14ac:dyDescent="0.25">
      <c r="A235" s="577" t="str">
        <f t="shared" si="13"/>
        <v>03-C-208</v>
      </c>
      <c r="B235" s="873"/>
    </row>
    <row r="236" spans="1:2" s="582" customFormat="1" x14ac:dyDescent="0.25">
      <c r="A236" s="580" t="str">
        <f t="shared" si="13"/>
        <v>03-C-209</v>
      </c>
      <c r="B236" s="872"/>
    </row>
    <row r="237" spans="1:2" s="579" customFormat="1" x14ac:dyDescent="0.25">
      <c r="A237" s="577" t="str">
        <f t="shared" si="13"/>
        <v>03-C-210</v>
      </c>
      <c r="B237" s="873"/>
    </row>
    <row r="238" spans="1:2" s="582" customFormat="1" x14ac:dyDescent="0.25">
      <c r="A238" s="580" t="str">
        <f t="shared" si="13"/>
        <v>03-C-211</v>
      </c>
      <c r="B238" s="872"/>
    </row>
    <row r="239" spans="1:2" s="579" customFormat="1" x14ac:dyDescent="0.25">
      <c r="A239" s="577" t="str">
        <f t="shared" si="13"/>
        <v>03-C-212</v>
      </c>
      <c r="B239" s="873"/>
    </row>
    <row r="240" spans="1:2" s="582" customFormat="1" x14ac:dyDescent="0.25">
      <c r="A240" s="580" t="str">
        <f t="shared" si="13"/>
        <v>03-C-213</v>
      </c>
      <c r="B240" s="872"/>
    </row>
    <row r="241" spans="1:2" s="579" customFormat="1" x14ac:dyDescent="0.25">
      <c r="A241" s="577" t="str">
        <f t="shared" si="13"/>
        <v>03-C-214</v>
      </c>
      <c r="B241" s="873"/>
    </row>
    <row r="242" spans="1:2" s="582" customFormat="1" x14ac:dyDescent="0.25">
      <c r="A242" s="580" t="str">
        <f t="shared" si="13"/>
        <v>03-C-215</v>
      </c>
      <c r="B242" s="872"/>
    </row>
    <row r="243" spans="1:2" s="579" customFormat="1" x14ac:dyDescent="0.25">
      <c r="A243" s="577" t="str">
        <f t="shared" si="13"/>
        <v>03-C-216</v>
      </c>
      <c r="B243" s="873"/>
    </row>
    <row r="244" spans="1:2" s="582" customFormat="1" x14ac:dyDescent="0.25">
      <c r="A244" s="580" t="str">
        <f t="shared" si="13"/>
        <v>03-C-217</v>
      </c>
      <c r="B244" s="872"/>
    </row>
    <row r="245" spans="1:2" s="579" customFormat="1" x14ac:dyDescent="0.25">
      <c r="A245" s="577" t="str">
        <f t="shared" si="13"/>
        <v>03-C-218</v>
      </c>
      <c r="B245" s="873"/>
    </row>
    <row r="246" spans="1:2" s="582" customFormat="1" x14ac:dyDescent="0.25">
      <c r="A246" s="580" t="str">
        <f t="shared" si="13"/>
        <v>03-C-219</v>
      </c>
      <c r="B246" s="872"/>
    </row>
    <row r="247" spans="1:2" s="579" customFormat="1" x14ac:dyDescent="0.25">
      <c r="A247" s="577" t="str">
        <f t="shared" si="13"/>
        <v>03-C-220</v>
      </c>
      <c r="B247" s="873"/>
    </row>
    <row r="248" spans="1:2" s="582" customFormat="1" x14ac:dyDescent="0.25">
      <c r="A248" s="580" t="str">
        <f t="shared" si="13"/>
        <v>03-C-221</v>
      </c>
      <c r="B248" s="872"/>
    </row>
    <row r="249" spans="1:2" s="579" customFormat="1" x14ac:dyDescent="0.25">
      <c r="A249" s="577" t="str">
        <f t="shared" si="13"/>
        <v>03-C-222</v>
      </c>
      <c r="B249" s="873"/>
    </row>
    <row r="250" spans="1:2" s="582" customFormat="1" x14ac:dyDescent="0.25">
      <c r="A250" s="580" t="str">
        <f t="shared" si="13"/>
        <v>03-C-223</v>
      </c>
      <c r="B250" s="872"/>
    </row>
    <row r="251" spans="1:2" s="579" customFormat="1" x14ac:dyDescent="0.25">
      <c r="A251" s="577" t="str">
        <f t="shared" si="13"/>
        <v>03-C-224</v>
      </c>
      <c r="B251" s="873"/>
    </row>
    <row r="252" spans="1:2" s="582" customFormat="1" x14ac:dyDescent="0.25">
      <c r="A252" s="580" t="str">
        <f t="shared" si="13"/>
        <v>03-C-225</v>
      </c>
      <c r="B252" s="872"/>
    </row>
    <row r="253" spans="1:2" s="579" customFormat="1" x14ac:dyDescent="0.25">
      <c r="A253" s="577" t="str">
        <f t="shared" si="13"/>
        <v>03-C-226</v>
      </c>
      <c r="B253" s="873"/>
    </row>
    <row r="254" spans="1:2" s="582" customFormat="1" x14ac:dyDescent="0.25">
      <c r="A254" s="580" t="str">
        <f t="shared" si="13"/>
        <v>03-C-227</v>
      </c>
      <c r="B254" s="872"/>
    </row>
    <row r="255" spans="1:2" s="579" customFormat="1" x14ac:dyDescent="0.25">
      <c r="A255" s="577" t="str">
        <f t="shared" si="13"/>
        <v>03-C-228</v>
      </c>
      <c r="B255" s="873"/>
    </row>
    <row r="256" spans="1:2" s="582" customFormat="1" x14ac:dyDescent="0.25">
      <c r="A256" s="580" t="str">
        <f t="shared" si="13"/>
        <v>03-C-229</v>
      </c>
      <c r="B256" s="872"/>
    </row>
    <row r="257" spans="1:2" s="579" customFormat="1" x14ac:dyDescent="0.25">
      <c r="A257" s="577" t="str">
        <f t="shared" si="13"/>
        <v>03-C-230</v>
      </c>
      <c r="B257" s="873"/>
    </row>
    <row r="258" spans="1:2" s="582" customFormat="1" x14ac:dyDescent="0.25">
      <c r="A258" s="580" t="str">
        <f t="shared" si="13"/>
        <v>03-C-231</v>
      </c>
      <c r="B258" s="872"/>
    </row>
    <row r="259" spans="1:2" s="579" customFormat="1" x14ac:dyDescent="0.25">
      <c r="A259" s="577" t="str">
        <f t="shared" si="13"/>
        <v>03-C-232</v>
      </c>
      <c r="B259" s="873"/>
    </row>
    <row r="260" spans="1:2" s="582" customFormat="1" x14ac:dyDescent="0.25">
      <c r="A260" s="580" t="str">
        <f t="shared" si="13"/>
        <v>03-C-233</v>
      </c>
      <c r="B260" s="872"/>
    </row>
    <row r="261" spans="1:2" s="579" customFormat="1" x14ac:dyDescent="0.25">
      <c r="A261" s="577" t="str">
        <f t="shared" si="13"/>
        <v>03-C-234</v>
      </c>
      <c r="B261" s="873"/>
    </row>
    <row r="262" spans="1:2" s="582" customFormat="1" x14ac:dyDescent="0.25">
      <c r="A262" s="580" t="str">
        <f t="shared" si="13"/>
        <v>03-C-235</v>
      </c>
      <c r="B262" s="872"/>
    </row>
    <row r="263" spans="1:2" s="579" customFormat="1" x14ac:dyDescent="0.25">
      <c r="A263" s="577" t="str">
        <f t="shared" si="13"/>
        <v>03-C-236</v>
      </c>
      <c r="B263" s="873"/>
    </row>
    <row r="264" spans="1:2" s="582" customFormat="1" x14ac:dyDescent="0.25">
      <c r="A264" s="580" t="str">
        <f t="shared" si="13"/>
        <v>03-C-237</v>
      </c>
      <c r="B264" s="872"/>
    </row>
    <row r="265" spans="1:2" s="579" customFormat="1" x14ac:dyDescent="0.25">
      <c r="A265" s="577" t="str">
        <f t="shared" si="13"/>
        <v>03-C-238</v>
      </c>
      <c r="B265" s="873"/>
    </row>
    <row r="266" spans="1:2" s="582" customFormat="1" x14ac:dyDescent="0.25">
      <c r="A266" s="580" t="str">
        <f t="shared" si="13"/>
        <v>03-C-239</v>
      </c>
      <c r="B266" s="872"/>
    </row>
    <row r="267" spans="1:2" s="579" customFormat="1" x14ac:dyDescent="0.25">
      <c r="A267" s="577" t="str">
        <f t="shared" si="13"/>
        <v>03-C-240</v>
      </c>
      <c r="B267" s="873"/>
    </row>
    <row r="268" spans="1:2" s="582" customFormat="1" x14ac:dyDescent="0.25">
      <c r="A268" s="580" t="str">
        <f t="shared" si="13"/>
        <v>03-C-241</v>
      </c>
      <c r="B268" s="872"/>
    </row>
    <row r="269" spans="1:2" s="579" customFormat="1" x14ac:dyDescent="0.25">
      <c r="A269" s="577" t="str">
        <f t="shared" si="13"/>
        <v>03-C-242</v>
      </c>
      <c r="B269" s="873"/>
    </row>
    <row r="270" spans="1:2" s="582" customFormat="1" x14ac:dyDescent="0.25">
      <c r="A270" s="580" t="str">
        <f t="shared" si="13"/>
        <v>03-C-243</v>
      </c>
      <c r="B270" s="872"/>
    </row>
    <row r="271" spans="1:2" s="579" customFormat="1" x14ac:dyDescent="0.25">
      <c r="A271" s="577" t="str">
        <f t="shared" si="13"/>
        <v>03-C-244</v>
      </c>
      <c r="B271" s="873"/>
    </row>
    <row r="272" spans="1:2" s="582" customFormat="1" x14ac:dyDescent="0.25">
      <c r="A272" s="580" t="str">
        <f t="shared" si="13"/>
        <v>03-C-245</v>
      </c>
      <c r="B272" s="872"/>
    </row>
    <row r="273" spans="1:2" s="579" customFormat="1" x14ac:dyDescent="0.25">
      <c r="A273" s="577" t="str">
        <f t="shared" si="13"/>
        <v>03-C-246</v>
      </c>
      <c r="B273" s="873"/>
    </row>
    <row r="274" spans="1:2" s="582" customFormat="1" x14ac:dyDescent="0.25">
      <c r="A274" s="580" t="str">
        <f t="shared" si="13"/>
        <v>03-C-247</v>
      </c>
      <c r="B274" s="872"/>
    </row>
    <row r="275" spans="1:2" s="579" customFormat="1" x14ac:dyDescent="0.25">
      <c r="A275" s="577" t="str">
        <f t="shared" si="13"/>
        <v>03-C-248</v>
      </c>
      <c r="B275" s="873"/>
    </row>
    <row r="276" spans="1:2" s="582" customFormat="1" x14ac:dyDescent="0.25">
      <c r="A276" s="580" t="str">
        <f t="shared" si="13"/>
        <v>03-C-249</v>
      </c>
      <c r="B276" s="872"/>
    </row>
    <row r="277" spans="1:2" s="579" customFormat="1" x14ac:dyDescent="0.25">
      <c r="A277" s="577" t="str">
        <f t="shared" si="13"/>
        <v>03-C-250</v>
      </c>
      <c r="B277" s="873"/>
    </row>
    <row r="278" spans="1:2" s="582" customFormat="1" x14ac:dyDescent="0.25">
      <c r="A278" s="580" t="str">
        <f t="shared" si="13"/>
        <v>03-C-251</v>
      </c>
      <c r="B278" s="872"/>
    </row>
    <row r="279" spans="1:2" s="579" customFormat="1" x14ac:dyDescent="0.25">
      <c r="A279" s="577" t="str">
        <f t="shared" si="13"/>
        <v>03-C-252</v>
      </c>
      <c r="B279" s="873"/>
    </row>
    <row r="280" spans="1:2" s="582" customFormat="1" x14ac:dyDescent="0.25">
      <c r="A280" s="580" t="str">
        <f t="shared" si="13"/>
        <v>03-C-253</v>
      </c>
      <c r="B280" s="87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604" customWidth="1"/>
    <col min="2" max="2" width="10.7109375" style="604" customWidth="1"/>
    <col min="3" max="4" width="50.7109375" style="605" customWidth="1"/>
    <col min="5" max="5" width="43" style="605" customWidth="1"/>
    <col min="6" max="27" width="50.7109375" style="605" customWidth="1"/>
    <col min="28" max="16384" width="9" style="605"/>
  </cols>
  <sheetData>
    <row r="1" spans="1:6" s="593" customFormat="1" x14ac:dyDescent="0.25">
      <c r="A1" s="594" t="s">
        <v>643</v>
      </c>
      <c r="C1" s="595">
        <f>Taal01!$C$1</f>
        <v>1</v>
      </c>
    </row>
    <row r="2" spans="1:6" s="593" customFormat="1" x14ac:dyDescent="0.25">
      <c r="A2" s="594" t="s">
        <v>644</v>
      </c>
      <c r="C2" s="595">
        <f>$C$1+2</f>
        <v>3</v>
      </c>
    </row>
    <row r="3" spans="1:6" s="597" customFormat="1" x14ac:dyDescent="0.25">
      <c r="A3" s="596" t="s">
        <v>590</v>
      </c>
      <c r="B3" s="861" t="s">
        <v>637</v>
      </c>
      <c r="C3" s="597" t="s">
        <v>591</v>
      </c>
      <c r="D3" s="597" t="s">
        <v>448</v>
      </c>
      <c r="E3" s="597" t="s">
        <v>447</v>
      </c>
      <c r="F3" s="597" t="s">
        <v>449</v>
      </c>
    </row>
    <row r="4" spans="1:6" s="575" customFormat="1" x14ac:dyDescent="0.25">
      <c r="A4" s="598"/>
      <c r="B4" s="862"/>
    </row>
    <row r="5" spans="1:6" s="576" customFormat="1" x14ac:dyDescent="0.25">
      <c r="A5" s="599" t="s">
        <v>924</v>
      </c>
      <c r="B5" s="863"/>
    </row>
    <row r="6" spans="1:6" s="603" customFormat="1" x14ac:dyDescent="0.25">
      <c r="A6" s="602" t="str">
        <f>"04-D-001"</f>
        <v>04-D-001</v>
      </c>
      <c r="B6" s="864" t="str">
        <f t="shared" ref="B6:B12" ca="1" si="0">TRIM(INDIRECT(CHAR(64+$C$2)&amp;ROW()))</f>
        <v>Deelname Formulier</v>
      </c>
      <c r="C6" s="603" t="s">
        <v>868</v>
      </c>
      <c r="D6" s="603" t="s">
        <v>869</v>
      </c>
      <c r="E6" s="603" t="s">
        <v>1476</v>
      </c>
      <c r="F6" s="603" t="s">
        <v>1632</v>
      </c>
    </row>
    <row r="7" spans="1:6" s="601" customFormat="1" x14ac:dyDescent="0.25">
      <c r="A7" s="600" t="str">
        <f t="shared" ref="A7:A97" si="1">LEFT(A6,5)&amp;RIGHT("000"&amp;RIGHT(A6,3)*1+1,3)</f>
        <v>04-D-002</v>
      </c>
      <c r="B7" s="865" t="str">
        <f t="shared" ca="1" si="0"/>
        <v>Excel Deelname Formulier</v>
      </c>
      <c r="C7" s="601" t="s">
        <v>867</v>
      </c>
      <c r="D7" s="601" t="s">
        <v>870</v>
      </c>
      <c r="E7" s="601" t="s">
        <v>1477</v>
      </c>
      <c r="F7" s="601" t="s">
        <v>1791</v>
      </c>
    </row>
    <row r="8" spans="1:6" s="603" customFormat="1" x14ac:dyDescent="0.25">
      <c r="A8" s="602" t="str">
        <f t="shared" si="1"/>
        <v>04-D-003</v>
      </c>
      <c r="B8" s="864" t="str">
        <f t="shared" ca="1" si="0"/>
        <v>Groepswedstrijden</v>
      </c>
      <c r="C8" s="603" t="s">
        <v>648</v>
      </c>
      <c r="D8" s="603" t="s">
        <v>871</v>
      </c>
      <c r="E8" s="603" t="s">
        <v>1478</v>
      </c>
      <c r="F8" s="603" t="s">
        <v>1792</v>
      </c>
    </row>
    <row r="9" spans="1:6" s="601" customFormat="1" x14ac:dyDescent="0.25">
      <c r="A9" s="600" t="str">
        <f t="shared" si="1"/>
        <v>04-D-004</v>
      </c>
      <c r="B9" s="865" t="str">
        <f t="shared" ca="1" si="0"/>
        <v>Eindstand Groep</v>
      </c>
      <c r="C9" s="601" t="s">
        <v>256</v>
      </c>
      <c r="D9" s="601" t="s">
        <v>951</v>
      </c>
      <c r="E9" s="601" t="s">
        <v>1479</v>
      </c>
      <c r="F9" s="601" t="s">
        <v>1793</v>
      </c>
    </row>
    <row r="10" spans="1:6" s="603" customFormat="1" x14ac:dyDescent="0.25">
      <c r="A10" s="602" t="str">
        <f t="shared" si="1"/>
        <v>04-D-005</v>
      </c>
      <c r="B10" s="864" t="str">
        <f t="shared" ca="1" si="0"/>
        <v>Finalewedstrijden</v>
      </c>
      <c r="C10" s="603" t="s">
        <v>649</v>
      </c>
      <c r="D10" s="603" t="s">
        <v>935</v>
      </c>
      <c r="E10" s="603" t="s">
        <v>1480</v>
      </c>
      <c r="F10" s="603" t="s">
        <v>1650</v>
      </c>
    </row>
    <row r="11" spans="1:6" s="584" customFormat="1" x14ac:dyDescent="0.25">
      <c r="A11" s="583" t="str">
        <f t="shared" si="1"/>
        <v>04-D-006</v>
      </c>
      <c r="B11" s="866" t="str">
        <f t="shared" ca="1" si="0"/>
        <v>Bonusvragen</v>
      </c>
      <c r="C11" s="584" t="s">
        <v>100</v>
      </c>
      <c r="D11" s="584" t="s">
        <v>668</v>
      </c>
      <c r="E11" s="584" t="s">
        <v>1313</v>
      </c>
      <c r="F11" s="584" t="s">
        <v>1794</v>
      </c>
    </row>
    <row r="12" spans="1:6" s="603" customFormat="1" x14ac:dyDescent="0.25">
      <c r="A12" s="602" t="str">
        <f t="shared" si="1"/>
        <v>04-D-007</v>
      </c>
      <c r="B12" s="864" t="str">
        <f t="shared" ca="1" si="0"/>
        <v>Teams</v>
      </c>
      <c r="C12" s="603" t="s">
        <v>1329</v>
      </c>
      <c r="D12" s="603" t="s">
        <v>1329</v>
      </c>
      <c r="E12" s="603" t="s">
        <v>1329</v>
      </c>
      <c r="F12" s="603" t="s">
        <v>2051</v>
      </c>
    </row>
    <row r="13" spans="1:6" s="576" customFormat="1" x14ac:dyDescent="0.25">
      <c r="A13" s="577" t="str">
        <f t="shared" si="1"/>
        <v>04-D-008</v>
      </c>
      <c r="B13" s="868"/>
    </row>
    <row r="14" spans="1:6" s="570" customFormat="1" x14ac:dyDescent="0.25">
      <c r="A14" s="588" t="str">
        <f t="shared" si="1"/>
        <v>04-D-009</v>
      </c>
      <c r="B14" s="869" t="str">
        <f ca="1">TRIM(INDIRECT(CHAR(64+$C$2)&amp;ROW()))</f>
        <v>Naam</v>
      </c>
      <c r="C14" s="570" t="s">
        <v>872</v>
      </c>
      <c r="D14" s="570" t="s">
        <v>875</v>
      </c>
      <c r="E14" s="570" t="s">
        <v>875</v>
      </c>
      <c r="F14" s="570" t="s">
        <v>1795</v>
      </c>
    </row>
    <row r="15" spans="1:6" s="579" customFormat="1" x14ac:dyDescent="0.25">
      <c r="A15" s="587" t="str">
        <f t="shared" si="1"/>
        <v>04-D-010</v>
      </c>
      <c r="B15" s="868" t="str">
        <f ca="1">TRIM(INDIRECT(CHAR(64+$C$2)&amp;ROW()))</f>
        <v>E-mail</v>
      </c>
      <c r="C15" s="576" t="s">
        <v>873</v>
      </c>
      <c r="D15" s="576" t="s">
        <v>873</v>
      </c>
      <c r="E15" s="579" t="s">
        <v>1481</v>
      </c>
      <c r="F15" s="576" t="s">
        <v>1796</v>
      </c>
    </row>
    <row r="16" spans="1:6" s="570" customFormat="1" x14ac:dyDescent="0.25">
      <c r="A16" s="573" t="str">
        <f t="shared" si="1"/>
        <v>04-D-011</v>
      </c>
      <c r="B16" s="869" t="str">
        <f ca="1">TRIM(INDIRECT(CHAR(64+$C$2)&amp;ROW()))</f>
        <v>(maximaal ## tekens)</v>
      </c>
      <c r="C16" s="570" t="s">
        <v>874</v>
      </c>
      <c r="D16" s="570" t="s">
        <v>876</v>
      </c>
      <c r="E16" s="570" t="s">
        <v>1482</v>
      </c>
      <c r="F16" s="570" t="s">
        <v>1797</v>
      </c>
    </row>
    <row r="17" spans="1:6" s="576" customFormat="1" x14ac:dyDescent="0.25">
      <c r="A17" s="587" t="str">
        <f t="shared" si="1"/>
        <v>04-D-012</v>
      </c>
      <c r="B17" s="868" t="str">
        <f ca="1">TRIM(INDIRECT(CHAR(64+$C$2)&amp;ROW()))</f>
        <v>e-mailadres is niet verplicht</v>
      </c>
      <c r="C17" s="576" t="s">
        <v>1252</v>
      </c>
      <c r="D17" s="576" t="s">
        <v>1253</v>
      </c>
      <c r="E17" s="576" t="s">
        <v>1483</v>
      </c>
      <c r="F17" s="576" t="s">
        <v>1798</v>
      </c>
    </row>
    <row r="18" spans="1:6" s="575" customFormat="1" x14ac:dyDescent="0.25">
      <c r="A18" s="580" t="str">
        <f t="shared" si="1"/>
        <v>04-D-013</v>
      </c>
      <c r="B18" s="867"/>
    </row>
    <row r="19" spans="1:6" s="576" customFormat="1" x14ac:dyDescent="0.25">
      <c r="A19" s="577" t="str">
        <f t="shared" si="1"/>
        <v>04-D-014</v>
      </c>
      <c r="B19" s="863"/>
    </row>
    <row r="20" spans="1:6" s="575" customFormat="1" x14ac:dyDescent="0.25">
      <c r="A20" s="588" t="str">
        <f t="shared" si="1"/>
        <v>04-D-015</v>
      </c>
      <c r="B20" s="869" t="str">
        <f t="shared" ref="B20:B36" ca="1" si="2">TRIM(INDIRECT(CHAR(64+$C$2)&amp;ROW()))</f>
        <v>Datum</v>
      </c>
      <c r="C20" s="575" t="s">
        <v>10</v>
      </c>
      <c r="D20" s="575" t="s">
        <v>884</v>
      </c>
      <c r="E20" s="575" t="s">
        <v>10</v>
      </c>
      <c r="F20" s="575" t="s">
        <v>10</v>
      </c>
    </row>
    <row r="21" spans="1:6" s="576" customFormat="1" x14ac:dyDescent="0.25">
      <c r="A21" s="587" t="str">
        <f t="shared" si="1"/>
        <v>04-D-016</v>
      </c>
      <c r="B21" s="868" t="str">
        <f t="shared" ca="1" si="2"/>
        <v>Tijd</v>
      </c>
      <c r="C21" s="576" t="s">
        <v>11</v>
      </c>
      <c r="D21" s="576" t="s">
        <v>885</v>
      </c>
      <c r="E21" s="576" t="s">
        <v>1484</v>
      </c>
      <c r="F21" s="576" t="s">
        <v>1799</v>
      </c>
    </row>
    <row r="22" spans="1:6" s="575" customFormat="1" x14ac:dyDescent="0.25">
      <c r="A22" s="588" t="str">
        <f t="shared" si="1"/>
        <v>04-D-017</v>
      </c>
      <c r="B22" s="869" t="str">
        <f t="shared" ca="1" si="2"/>
        <v>Wedstrijd</v>
      </c>
      <c r="C22" s="575" t="s">
        <v>8</v>
      </c>
      <c r="D22" s="575" t="s">
        <v>886</v>
      </c>
      <c r="E22" s="575" t="s">
        <v>1485</v>
      </c>
      <c r="F22" s="575" t="s">
        <v>886</v>
      </c>
    </row>
    <row r="23" spans="1:6" s="576" customFormat="1" x14ac:dyDescent="0.25">
      <c r="A23" s="587" t="str">
        <f t="shared" si="1"/>
        <v>04-D-018</v>
      </c>
      <c r="B23" s="868" t="str">
        <f t="shared" ca="1" si="2"/>
        <v>TOTO</v>
      </c>
      <c r="C23" s="576" t="s">
        <v>234</v>
      </c>
      <c r="D23" s="576" t="s">
        <v>234</v>
      </c>
      <c r="E23" s="576" t="s">
        <v>234</v>
      </c>
      <c r="F23" s="576" t="s">
        <v>1733</v>
      </c>
    </row>
    <row r="24" spans="1:6" s="575" customFormat="1" x14ac:dyDescent="0.25">
      <c r="A24" s="588" t="str">
        <f t="shared" si="1"/>
        <v>04-D-019</v>
      </c>
      <c r="B24" s="869" t="str">
        <f t="shared" ca="1" si="2"/>
        <v>Eindstand</v>
      </c>
      <c r="C24" s="575" t="s">
        <v>13</v>
      </c>
      <c r="D24" s="575" t="s">
        <v>887</v>
      </c>
      <c r="E24" s="575" t="s">
        <v>1486</v>
      </c>
      <c r="F24" s="575" t="s">
        <v>1800</v>
      </c>
    </row>
    <row r="25" spans="1:6" s="576" customFormat="1" x14ac:dyDescent="0.25">
      <c r="A25" s="587" t="str">
        <f t="shared" si="1"/>
        <v>04-D-020</v>
      </c>
      <c r="B25" s="868" t="str">
        <f t="shared" ca="1" si="2"/>
        <v>Alle tijden zijn Midden-Europese Tijd (UCT+1)</v>
      </c>
      <c r="C25" s="576" t="s">
        <v>172</v>
      </c>
      <c r="D25" s="576" t="s">
        <v>888</v>
      </c>
      <c r="E25" s="576" t="s">
        <v>1487</v>
      </c>
      <c r="F25" s="576" t="s">
        <v>1801</v>
      </c>
    </row>
    <row r="26" spans="1:6" s="575" customFormat="1" x14ac:dyDescent="0.25">
      <c r="A26" s="588" t="str">
        <f t="shared" si="1"/>
        <v>04-D-021</v>
      </c>
      <c r="B26" s="869" t="str">
        <f t="shared" ca="1" si="2"/>
        <v>Groep</v>
      </c>
      <c r="C26" s="575" t="s">
        <v>73</v>
      </c>
      <c r="D26" s="575" t="s">
        <v>889</v>
      </c>
      <c r="E26" s="575" t="s">
        <v>1488</v>
      </c>
      <c r="F26" s="575" t="s">
        <v>1802</v>
      </c>
    </row>
    <row r="27" spans="1:6" s="576" customFormat="1" x14ac:dyDescent="0.25">
      <c r="A27" s="587" t="str">
        <f t="shared" si="1"/>
        <v>04-D-022</v>
      </c>
      <c r="B27" s="868" t="str">
        <f t="shared" ca="1" si="2"/>
        <v>Achtste Finale</v>
      </c>
      <c r="C27" s="576" t="s">
        <v>895</v>
      </c>
      <c r="D27" s="576" t="s">
        <v>891</v>
      </c>
      <c r="E27" s="576" t="s">
        <v>1489</v>
      </c>
      <c r="F27" s="576" t="s">
        <v>1803</v>
      </c>
    </row>
    <row r="28" spans="1:6" s="575" customFormat="1" x14ac:dyDescent="0.25">
      <c r="A28" s="588" t="str">
        <f t="shared" si="1"/>
        <v>04-D-023</v>
      </c>
      <c r="B28" s="869" t="str">
        <f t="shared" ca="1" si="2"/>
        <v>Kwartfinale</v>
      </c>
      <c r="C28" s="575" t="s">
        <v>896</v>
      </c>
      <c r="D28" s="575" t="s">
        <v>892</v>
      </c>
      <c r="E28" s="575" t="s">
        <v>1490</v>
      </c>
      <c r="F28" s="575" t="s">
        <v>1804</v>
      </c>
    </row>
    <row r="29" spans="1:6" s="576" customFormat="1" x14ac:dyDescent="0.25">
      <c r="A29" s="587" t="str">
        <f t="shared" si="1"/>
        <v>04-D-024</v>
      </c>
      <c r="B29" s="868" t="str">
        <f t="shared" ca="1" si="2"/>
        <v>Halve finale</v>
      </c>
      <c r="C29" s="576" t="s">
        <v>897</v>
      </c>
      <c r="D29" s="576" t="s">
        <v>893</v>
      </c>
      <c r="E29" s="576" t="s">
        <v>1491</v>
      </c>
      <c r="F29" s="576" t="s">
        <v>1805</v>
      </c>
    </row>
    <row r="30" spans="1:6" s="575" customFormat="1" x14ac:dyDescent="0.25">
      <c r="A30" s="588" t="str">
        <f t="shared" si="1"/>
        <v>04-D-025</v>
      </c>
      <c r="B30" s="869" t="str">
        <f t="shared" ca="1" si="2"/>
        <v>Troostfinale</v>
      </c>
      <c r="C30" s="575" t="s">
        <v>171</v>
      </c>
      <c r="D30" s="575" t="s">
        <v>894</v>
      </c>
      <c r="E30" s="575" t="s">
        <v>1492</v>
      </c>
      <c r="F30" s="575" t="s">
        <v>1806</v>
      </c>
    </row>
    <row r="31" spans="1:6" s="576" customFormat="1" x14ac:dyDescent="0.25">
      <c r="A31" s="587" t="str">
        <f t="shared" si="1"/>
        <v>04-D-026</v>
      </c>
      <c r="B31" s="868" t="str">
        <f t="shared" ca="1" si="2"/>
        <v>Finale</v>
      </c>
      <c r="C31" s="576" t="s">
        <v>21</v>
      </c>
      <c r="D31" s="576" t="s">
        <v>890</v>
      </c>
      <c r="E31" s="576" t="s">
        <v>21</v>
      </c>
      <c r="F31" s="576" t="s">
        <v>890</v>
      </c>
    </row>
    <row r="32" spans="1:6" s="575" customFormat="1" x14ac:dyDescent="0.25">
      <c r="A32" s="588" t="str">
        <f t="shared" si="1"/>
        <v>04-D-027</v>
      </c>
      <c r="B32" s="869" t="str">
        <f t="shared" ca="1" si="2"/>
        <v>Europees kampioen</v>
      </c>
      <c r="C32" s="575" t="s">
        <v>2416</v>
      </c>
      <c r="D32" s="575" t="s">
        <v>2417</v>
      </c>
      <c r="E32" s="575" t="s">
        <v>2418</v>
      </c>
      <c r="F32" s="575" t="s">
        <v>2419</v>
      </c>
    </row>
    <row r="33" spans="1:6" s="576" customFormat="1" x14ac:dyDescent="0.25">
      <c r="A33" s="587" t="str">
        <f t="shared" si="1"/>
        <v>04-D-028</v>
      </c>
      <c r="B33" s="868" t="str">
        <f t="shared" ca="1" si="2"/>
        <v>1 winst voor de thuisploeg, 2 winst voor de uitploeg, 3 gelijkspel</v>
      </c>
      <c r="C33" s="576" t="s">
        <v>273</v>
      </c>
      <c r="D33" s="576" t="s">
        <v>898</v>
      </c>
      <c r="E33" s="576" t="s">
        <v>1493</v>
      </c>
      <c r="F33" s="576" t="s">
        <v>1807</v>
      </c>
    </row>
    <row r="34" spans="1:6" s="575" customFormat="1" x14ac:dyDescent="0.25">
      <c r="A34" s="588" t="str">
        <f t="shared" si="1"/>
        <v>04-D-029</v>
      </c>
      <c r="B34" s="869" t="str">
        <f t="shared" ca="1" si="2"/>
        <v>suggesties altijd weergeven</v>
      </c>
      <c r="C34" s="575" t="s">
        <v>180</v>
      </c>
      <c r="D34" s="575" t="s">
        <v>1058</v>
      </c>
      <c r="E34" s="575" t="s">
        <v>1494</v>
      </c>
      <c r="F34" s="575" t="s">
        <v>1808</v>
      </c>
    </row>
    <row r="35" spans="1:6" s="576" customFormat="1" x14ac:dyDescent="0.25">
      <c r="A35" s="587" t="str">
        <f t="shared" si="1"/>
        <v>04-D-030</v>
      </c>
      <c r="B35" s="868" t="str">
        <f t="shared" ca="1" si="2"/>
        <v>suggesties verbergen na keuze</v>
      </c>
      <c r="C35" s="576" t="s">
        <v>179</v>
      </c>
      <c r="D35" s="576" t="s">
        <v>907</v>
      </c>
      <c r="E35" s="576" t="s">
        <v>1495</v>
      </c>
      <c r="F35" s="576" t="s">
        <v>1809</v>
      </c>
    </row>
    <row r="36" spans="1:6" s="575" customFormat="1" x14ac:dyDescent="0.25">
      <c r="A36" s="588" t="str">
        <f t="shared" si="1"/>
        <v>04-D-031</v>
      </c>
      <c r="B36" s="869" t="str">
        <f t="shared" ca="1" si="2"/>
        <v>suggesties niet weergeven</v>
      </c>
      <c r="C36" s="575" t="s">
        <v>906</v>
      </c>
      <c r="D36" s="575" t="s">
        <v>1057</v>
      </c>
      <c r="E36" s="575" t="s">
        <v>1496</v>
      </c>
      <c r="F36" s="575" t="s">
        <v>1810</v>
      </c>
    </row>
    <row r="37" spans="1:6" s="576" customFormat="1" x14ac:dyDescent="0.25">
      <c r="A37" s="577" t="str">
        <f t="shared" si="1"/>
        <v>04-D-032</v>
      </c>
      <c r="B37" s="863"/>
    </row>
    <row r="38" spans="1:6" s="575" customFormat="1" x14ac:dyDescent="0.25">
      <c r="A38" s="580" t="str">
        <f t="shared" si="1"/>
        <v>04-D-033</v>
      </c>
      <c r="B38" s="867"/>
    </row>
    <row r="39" spans="1:6" s="576" customFormat="1" x14ac:dyDescent="0.25">
      <c r="A39" s="577" t="str">
        <f t="shared" si="1"/>
        <v>04-D-034</v>
      </c>
      <c r="B39" s="863"/>
    </row>
    <row r="40" spans="1:6" s="575" customFormat="1" x14ac:dyDescent="0.25">
      <c r="A40" s="580" t="str">
        <f t="shared" si="1"/>
        <v>04-D-035</v>
      </c>
      <c r="B40" s="867"/>
    </row>
    <row r="41" spans="1:6" s="576" customFormat="1" x14ac:dyDescent="0.25">
      <c r="A41" s="587" t="str">
        <f t="shared" si="1"/>
        <v>04-D-036</v>
      </c>
      <c r="B41" s="868" t="str">
        <f t="shared" ref="B41:B62" ca="1" si="3">TRIM(INDIRECT(CHAR(64+$C$2)&amp;ROW()))</f>
        <v>Toelichting bij het Invullen</v>
      </c>
      <c r="C41" s="576" t="s">
        <v>186</v>
      </c>
      <c r="D41" s="576" t="s">
        <v>877</v>
      </c>
      <c r="E41" s="576" t="s">
        <v>1497</v>
      </c>
      <c r="F41" s="576" t="s">
        <v>1811</v>
      </c>
    </row>
    <row r="42" spans="1:6" s="575" customFormat="1" x14ac:dyDescent="0.25">
      <c r="A42" s="588" t="str">
        <f t="shared" si="1"/>
        <v>04-D-037</v>
      </c>
      <c r="B42" s="867" t="str">
        <f t="shared" ca="1" si="3"/>
        <v>Het is niet mogelijk om uitslagen te voorspellen waarin één land meer dan 9 doelpunten maakt. Wanneer een land toch meer dan 9 doelpunten maakt tijdens één wedstrijd zal bij de uitslag 9 doelpunten genoteerd worden.</v>
      </c>
      <c r="C42" s="575" t="str">
        <f>Taal03!C23</f>
        <v>Het is niet mogelijk om uitslagen te voorspellen waarin één land meer dan 9 doelpunten maakt. Wanneer een land toch meer dan 9 doelpunten maakt tijdens één wedstrijd zal bij de uitslag 9 doelpunten genoteerd worden.</v>
      </c>
      <c r="D42" s="953" t="str">
        <f>Taal03!D23</f>
        <v>It is not possible to predict results in which one team will score more than 9 goals. If a team scores more than 9 goals during one match, 9 goals will be noted for the result.</v>
      </c>
      <c r="E42" s="953" t="s">
        <v>1370</v>
      </c>
      <c r="F42" s="953" t="s">
        <v>1691</v>
      </c>
    </row>
    <row r="43" spans="1:6" s="576" customFormat="1" x14ac:dyDescent="0.25">
      <c r="A43" s="587" t="str">
        <f t="shared" si="1"/>
        <v>04-D-038</v>
      </c>
      <c r="B43" s="868" t="str">
        <f t="shared" ca="1" si="3"/>
        <v>Voor het voorspellen van de TOTO vult men een 1 in wanneer men denkt dat de thuisploeg zal winnen, een 2 als men denkt dat de uitploeg zal winnen en wanneer men een gelijkspel verwacht vult men een 3 in.</v>
      </c>
      <c r="C43" s="576" t="str">
        <f>Taal03!C24</f>
        <v>Voor het voorspellen van de TOTO vult men een 1 in wanneer men denkt dat de thuisploeg zal winnen, een 2 als men denkt dat de uitploeg zal winnen en wanneer men een gelijkspel verwacht vult men een 3 in.</v>
      </c>
      <c r="D43" s="954" t="str">
        <f>Taal03!D24</f>
        <v>For predicting the TOTO, enter a 1 when you think the home team will win, a 2 if you think the away team will win and when you expect a draw, you enter a 3.</v>
      </c>
      <c r="E43" s="954" t="s">
        <v>1371</v>
      </c>
      <c r="F43" s="954" t="s">
        <v>1692</v>
      </c>
    </row>
    <row r="44" spans="1:6" s="575" customFormat="1" x14ac:dyDescent="0.25">
      <c r="A44" s="588" t="str">
        <f t="shared" si="1"/>
        <v>04-D-039</v>
      </c>
      <c r="B44" s="867" t="str">
        <f t="shared" ca="1" si="3"/>
        <v>De achtergrondkleur van de in te vullen velden geeft de status van het veld aan. Deze status correspondeert met de tabel hier rechts.</v>
      </c>
      <c r="C44" s="575" t="s">
        <v>878</v>
      </c>
      <c r="D44" s="575" t="s">
        <v>879</v>
      </c>
      <c r="E44" s="575" t="s">
        <v>1498</v>
      </c>
      <c r="F44" s="575" t="s">
        <v>1812</v>
      </c>
    </row>
    <row r="45" spans="1:6" s="576" customFormat="1" x14ac:dyDescent="0.25">
      <c r="A45" s="587" t="str">
        <f t="shared" si="1"/>
        <v>04-D-040</v>
      </c>
      <c r="B45" s="868" t="str">
        <f t="shared" ca="1" si="3"/>
        <v>Goed ingevuld</v>
      </c>
      <c r="C45" s="576" t="s">
        <v>26</v>
      </c>
      <c r="D45" s="576" t="s">
        <v>880</v>
      </c>
      <c r="E45" s="576" t="s">
        <v>1499</v>
      </c>
      <c r="F45" s="576" t="s">
        <v>1813</v>
      </c>
    </row>
    <row r="46" spans="1:6" s="575" customFormat="1" x14ac:dyDescent="0.25">
      <c r="A46" s="588" t="str">
        <f t="shared" si="1"/>
        <v>04-D-041</v>
      </c>
      <c r="B46" s="867" t="str">
        <f t="shared" ca="1" si="3"/>
        <v>Niet ingevuld</v>
      </c>
      <c r="C46" s="575" t="s">
        <v>79</v>
      </c>
      <c r="D46" s="575" t="s">
        <v>881</v>
      </c>
      <c r="E46" s="575" t="s">
        <v>1500</v>
      </c>
      <c r="F46" s="575" t="s">
        <v>1814</v>
      </c>
    </row>
    <row r="47" spans="1:6" s="576" customFormat="1" x14ac:dyDescent="0.25">
      <c r="A47" s="587" t="str">
        <f t="shared" si="1"/>
        <v>04-D-042</v>
      </c>
      <c r="B47" s="868" t="str">
        <f t="shared" ca="1" si="3"/>
        <v>Fout ingevuld</v>
      </c>
      <c r="C47" s="576" t="s">
        <v>91</v>
      </c>
      <c r="D47" s="576" t="s">
        <v>882</v>
      </c>
      <c r="E47" s="576" t="s">
        <v>1501</v>
      </c>
      <c r="F47" s="576" t="s">
        <v>1815</v>
      </c>
    </row>
    <row r="48" spans="1:6" s="575" customFormat="1" x14ac:dyDescent="0.25">
      <c r="A48" s="580" t="str">
        <f t="shared" si="1"/>
        <v>04-D-043</v>
      </c>
      <c r="B48" s="867" t="str">
        <f t="shared" ca="1" si="3"/>
        <v/>
      </c>
    </row>
    <row r="49" spans="1:6" s="576" customFormat="1" x14ac:dyDescent="0.25">
      <c r="A49" s="587" t="str">
        <f t="shared" si="1"/>
        <v>04-D-044</v>
      </c>
      <c r="B49" s="868" t="str">
        <f t="shared" ca="1" si="3"/>
        <v>De Groepswedstrijden - Groep A t/m F</v>
      </c>
      <c r="C49" s="576" t="s">
        <v>2420</v>
      </c>
      <c r="D49" s="576" t="s">
        <v>2421</v>
      </c>
      <c r="E49" s="576" t="s">
        <v>2422</v>
      </c>
      <c r="F49" s="576" t="s">
        <v>2423</v>
      </c>
    </row>
    <row r="50" spans="1:6" s="575" customFormat="1" x14ac:dyDescent="0.25">
      <c r="A50" s="588" t="str">
        <f t="shared" si="1"/>
        <v>04-D-045</v>
      </c>
      <c r="B50" s="867" t="str">
        <f t="shared" ca="1" si="3"/>
        <v>Voorspel de uitslag van de groepswedstrijden en vul deze in op dit blad.</v>
      </c>
      <c r="C50" s="575" t="s">
        <v>902</v>
      </c>
      <c r="D50" s="575" t="s">
        <v>901</v>
      </c>
      <c r="E50" s="575" t="s">
        <v>1502</v>
      </c>
      <c r="F50" s="575" t="s">
        <v>1816</v>
      </c>
    </row>
    <row r="51" spans="1:6" s="576" customFormat="1" x14ac:dyDescent="0.25">
      <c r="A51" s="587" t="str">
        <f t="shared" si="1"/>
        <v>04-D-046</v>
      </c>
      <c r="B51" s="868" t="str">
        <f t="shared" ca="1" si="3"/>
        <v>Voorspel welk team de wedstrijd wint of een gelijkspel en vul dit in op dit blad.</v>
      </c>
      <c r="C51" s="576" t="s">
        <v>883</v>
      </c>
      <c r="D51" s="576" t="s">
        <v>899</v>
      </c>
      <c r="E51" s="576" t="s">
        <v>1503</v>
      </c>
      <c r="F51" s="576" t="s">
        <v>1817</v>
      </c>
    </row>
    <row r="52" spans="1:6" s="575" customFormat="1" x14ac:dyDescent="0.25">
      <c r="A52" s="580" t="str">
        <f t="shared" si="1"/>
        <v>04-D-047</v>
      </c>
      <c r="B52" s="867" t="str">
        <f t="shared" ca="1" si="3"/>
        <v/>
      </c>
    </row>
    <row r="53" spans="1:6" s="576" customFormat="1" x14ac:dyDescent="0.25">
      <c r="A53" s="587" t="str">
        <f t="shared" si="1"/>
        <v>04-D-048</v>
      </c>
      <c r="B53" s="868" t="str">
        <f t="shared" ca="1" si="3"/>
        <v>Eindstand Groep A t/m F</v>
      </c>
      <c r="C53" s="576" t="s">
        <v>2427</v>
      </c>
      <c r="D53" s="576" t="s">
        <v>2426</v>
      </c>
      <c r="E53" s="576" t="s">
        <v>2425</v>
      </c>
      <c r="F53" s="576" t="s">
        <v>2424</v>
      </c>
    </row>
    <row r="54" spans="1:6" s="575" customFormat="1" x14ac:dyDescent="0.25">
      <c r="A54" s="588" t="str">
        <f t="shared" si="1"/>
        <v>04-D-049</v>
      </c>
      <c r="B54" s="867" t="str">
        <f t="shared" ca="1" si="3"/>
        <v>Voorspel de eindstand van de verschillende groepen en vul deze in op dit blad.</v>
      </c>
      <c r="C54" s="575" t="s">
        <v>900</v>
      </c>
      <c r="D54" s="575" t="s">
        <v>952</v>
      </c>
      <c r="E54" s="575" t="s">
        <v>1504</v>
      </c>
      <c r="F54" s="575" t="s">
        <v>1818</v>
      </c>
    </row>
    <row r="55" spans="1:6" s="576" customFormat="1" x14ac:dyDescent="0.25">
      <c r="A55" s="587" t="str">
        <f t="shared" si="1"/>
        <v>04-D-050</v>
      </c>
      <c r="B55" s="868" t="str">
        <f t="shared" ca="1" si="3"/>
        <v>Elk land mag maar één keer ingevuld worden bij het voorspellen van de eindstand in de groep.</v>
      </c>
      <c r="C55" s="576" t="s">
        <v>227</v>
      </c>
      <c r="D55" s="576" t="s">
        <v>903</v>
      </c>
      <c r="E55" s="576" t="s">
        <v>1505</v>
      </c>
      <c r="F55" s="576" t="s">
        <v>1819</v>
      </c>
    </row>
    <row r="56" spans="1:6" s="575" customFormat="1" x14ac:dyDescent="0.25">
      <c r="A56" s="588" t="str">
        <f t="shared" si="1"/>
        <v>04-D-051</v>
      </c>
      <c r="B56" s="867" t="str">
        <f t="shared" ca="1" si="3"/>
        <v>Indeling van de groepen</v>
      </c>
      <c r="C56" s="575" t="s">
        <v>904</v>
      </c>
      <c r="D56" s="575" t="s">
        <v>953</v>
      </c>
      <c r="E56" s="575" t="s">
        <v>1506</v>
      </c>
      <c r="F56" s="575" t="s">
        <v>1820</v>
      </c>
    </row>
    <row r="57" spans="1:6" s="576" customFormat="1" x14ac:dyDescent="0.25">
      <c r="A57" s="587" t="str">
        <f t="shared" si="1"/>
        <v>04-D-052</v>
      </c>
      <c r="B57" s="868" t="str">
        <f t="shared" ca="1" si="3"/>
        <v>Om u op weg te helpen kan op basis van voorgaande voorspellingen, mits volledig ingevuld, u een suggestie gegeven worden. U bent niet verplicht deze suggestie op te volgen.</v>
      </c>
      <c r="C57" s="576" t="s">
        <v>1103</v>
      </c>
      <c r="D57" s="576" t="s">
        <v>905</v>
      </c>
      <c r="E57" s="576" t="s">
        <v>1507</v>
      </c>
      <c r="F57" s="576" t="s">
        <v>1821</v>
      </c>
    </row>
    <row r="58" spans="1:6" s="575" customFormat="1" x14ac:dyDescent="0.25">
      <c r="A58" s="588" t="str">
        <f t="shared" si="1"/>
        <v>04-D-053</v>
      </c>
      <c r="B58" s="867" t="str">
        <f t="shared" ca="1" si="3"/>
        <v>Eindstand in de groep op basis van eerdere voorspellingen</v>
      </c>
      <c r="C58" s="575" t="s">
        <v>918</v>
      </c>
      <c r="D58" s="575" t="s">
        <v>954</v>
      </c>
      <c r="E58" s="575" t="s">
        <v>1508</v>
      </c>
      <c r="F58" s="575" t="s">
        <v>1822</v>
      </c>
    </row>
    <row r="59" spans="1:6" s="576" customFormat="1" x14ac:dyDescent="0.25">
      <c r="A59" s="587" t="str">
        <f t="shared" si="1"/>
        <v>04-D-054</v>
      </c>
      <c r="B59" s="868" t="str">
        <f t="shared" ca="1" si="3"/>
        <v>Punten</v>
      </c>
      <c r="C59" s="576" t="s">
        <v>99</v>
      </c>
      <c r="D59" s="576" t="s">
        <v>725</v>
      </c>
      <c r="E59" s="576" t="s">
        <v>1387</v>
      </c>
      <c r="F59" s="576" t="s">
        <v>1703</v>
      </c>
    </row>
    <row r="60" spans="1:6" s="575" customFormat="1" x14ac:dyDescent="0.25">
      <c r="A60" s="588" t="str">
        <f t="shared" si="1"/>
        <v>04-D-055</v>
      </c>
      <c r="B60" s="867" t="str">
        <f t="shared" ca="1" si="3"/>
        <v>Doelpunten voor</v>
      </c>
      <c r="C60" s="575" t="s">
        <v>80</v>
      </c>
      <c r="D60" s="575" t="s">
        <v>919</v>
      </c>
      <c r="E60" s="575" t="s">
        <v>1509</v>
      </c>
      <c r="F60" s="575" t="s">
        <v>1823</v>
      </c>
    </row>
    <row r="61" spans="1:6" s="576" customFormat="1" x14ac:dyDescent="0.25">
      <c r="A61" s="587" t="str">
        <f t="shared" si="1"/>
        <v>04-D-056</v>
      </c>
      <c r="B61" s="868" t="str">
        <f t="shared" ca="1" si="3"/>
        <v>Doelpunten tegen</v>
      </c>
      <c r="C61" s="576" t="s">
        <v>81</v>
      </c>
      <c r="D61" s="576" t="s">
        <v>920</v>
      </c>
      <c r="E61" s="576" t="s">
        <v>1510</v>
      </c>
      <c r="F61" s="576" t="s">
        <v>1824</v>
      </c>
    </row>
    <row r="62" spans="1:6" s="575" customFormat="1" x14ac:dyDescent="0.25">
      <c r="A62" s="588" t="str">
        <f t="shared" si="1"/>
        <v>04-D-057</v>
      </c>
      <c r="B62" s="867" t="str">
        <f t="shared" ca="1" si="3"/>
        <v>LET OP: niet alle wedstrijden in groep # zijn ingevuld.</v>
      </c>
      <c r="C62" s="575" t="s">
        <v>921</v>
      </c>
      <c r="D62" s="575" t="s">
        <v>922</v>
      </c>
      <c r="E62" s="575" t="s">
        <v>1511</v>
      </c>
      <c r="F62" s="575" t="s">
        <v>1825</v>
      </c>
    </row>
    <row r="63" spans="1:6" s="576" customFormat="1" x14ac:dyDescent="0.25">
      <c r="A63" s="577" t="str">
        <f t="shared" si="1"/>
        <v>04-D-058</v>
      </c>
      <c r="B63" s="868"/>
    </row>
    <row r="64" spans="1:6" s="575" customFormat="1" x14ac:dyDescent="0.25">
      <c r="A64" s="588" t="str">
        <f t="shared" si="1"/>
        <v>04-D-059</v>
      </c>
      <c r="B64" s="867" t="str">
        <f t="shared" ref="B64:B78" ca="1" si="4">TRIM(INDIRECT(CHAR(64+$C$2)&amp;ROW()))</f>
        <v>De Finalewedstrijden</v>
      </c>
      <c r="C64" s="575" t="s">
        <v>70</v>
      </c>
      <c r="D64" s="575" t="s">
        <v>934</v>
      </c>
      <c r="E64" s="575" t="s">
        <v>1512</v>
      </c>
      <c r="F64" s="575" t="s">
        <v>1650</v>
      </c>
    </row>
    <row r="65" spans="1:6" s="576" customFormat="1" x14ac:dyDescent="0.25">
      <c r="A65" s="587" t="str">
        <f t="shared" si="1"/>
        <v>04-D-060</v>
      </c>
      <c r="B65" s="868" t="str">
        <f t="shared" ca="1" si="4"/>
        <v>Voorspel de landen en de uitslag van de Finalewedstrijden en vul deze in op dit blad.</v>
      </c>
      <c r="C65" s="576" t="s">
        <v>945</v>
      </c>
      <c r="D65" s="576" t="s">
        <v>950</v>
      </c>
      <c r="E65" s="576" t="s">
        <v>1513</v>
      </c>
      <c r="F65" s="576" t="s">
        <v>1826</v>
      </c>
    </row>
    <row r="66" spans="1:6" s="575" customFormat="1" x14ac:dyDescent="0.25">
      <c r="A66" s="588" t="str">
        <f t="shared" si="1"/>
        <v>04-D-061</v>
      </c>
      <c r="B66" s="867" t="str">
        <f t="shared" ca="1" si="4"/>
        <v>Voorspel de landen en welk team de wedstrijd wint of een gelijkspel en vul dit in op dit blad.</v>
      </c>
      <c r="C66" s="575" t="s">
        <v>946</v>
      </c>
      <c r="D66" s="575" t="s">
        <v>948</v>
      </c>
      <c r="E66" s="575" t="s">
        <v>1514</v>
      </c>
      <c r="F66" s="575" t="s">
        <v>1827</v>
      </c>
    </row>
    <row r="67" spans="1:6" s="576" customFormat="1" x14ac:dyDescent="0.25">
      <c r="A67" s="587" t="str">
        <f t="shared" si="1"/>
        <v>04-D-062</v>
      </c>
      <c r="B67" s="868" t="str">
        <f t="shared" ca="1" si="4"/>
        <v>Voorspel de landen in de Finalewedstrijden en vul deze in op dit blad.</v>
      </c>
      <c r="C67" s="576" t="s">
        <v>947</v>
      </c>
      <c r="D67" s="576" t="s">
        <v>949</v>
      </c>
      <c r="E67" s="576" t="s">
        <v>1515</v>
      </c>
      <c r="F67" s="576" t="s">
        <v>1828</v>
      </c>
    </row>
    <row r="68" spans="1:6" s="607" customFormat="1" x14ac:dyDescent="0.25">
      <c r="A68" s="588" t="str">
        <f t="shared" si="1"/>
        <v>04-D-063</v>
      </c>
      <c r="B68" s="867" t="str">
        <f t="shared" ca="1" si="4"/>
        <v>Het is niet toegestaan een land meerdere keren in te vullen in dezelfde speelronde.</v>
      </c>
      <c r="C68" s="575" t="s">
        <v>998</v>
      </c>
      <c r="D68" s="575" t="s">
        <v>999</v>
      </c>
      <c r="E68" s="575" t="s">
        <v>1516</v>
      </c>
      <c r="F68" s="575" t="s">
        <v>1829</v>
      </c>
    </row>
    <row r="69" spans="1:6" s="576" customFormat="1" x14ac:dyDescent="0.25">
      <c r="A69" s="587" t="str">
        <f t="shared" si="1"/>
        <v>04-D-064</v>
      </c>
      <c r="B69" s="86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76" t="s">
        <v>1102</v>
      </c>
      <c r="D69" s="576" t="s">
        <v>1056</v>
      </c>
      <c r="E69" s="576" t="s">
        <v>1517</v>
      </c>
      <c r="F69" s="576" t="s">
        <v>1830</v>
      </c>
    </row>
    <row r="70" spans="1:6" s="575" customFormat="1" x14ac:dyDescent="0.25">
      <c r="A70" s="588" t="str">
        <f t="shared" si="1"/>
        <v>04-D-065</v>
      </c>
      <c r="B70" s="867" t="str">
        <f t="shared" ca="1" si="4"/>
        <v>Om u op weg te helpen kan op basis van voorgaande voorspellingen, mits volledig ingevuld, u een suggestie gegeven worden. U bent niet verplicht deze suggestie op te volgen.</v>
      </c>
      <c r="C70" s="575" t="s">
        <v>1103</v>
      </c>
      <c r="D70" s="575" t="s">
        <v>1055</v>
      </c>
      <c r="E70" s="575" t="s">
        <v>1518</v>
      </c>
      <c r="F70" s="575" t="s">
        <v>1821</v>
      </c>
    </row>
    <row r="71" spans="1:6" s="576" customFormat="1" x14ac:dyDescent="0.25">
      <c r="A71" s="587" t="str">
        <f t="shared" si="1"/>
        <v>04-D-066</v>
      </c>
      <c r="B71" s="868" t="str">
        <f t="shared" ca="1" si="4"/>
        <v>Via onderstaande link kunt u de criteria vinden voor het bepalen van de 4 beste nummers 3 in de groepsfase.</v>
      </c>
      <c r="C71" s="576" t="s">
        <v>959</v>
      </c>
      <c r="D71" s="576" t="s">
        <v>960</v>
      </c>
      <c r="E71" s="576" t="s">
        <v>1519</v>
      </c>
      <c r="F71" s="576" t="s">
        <v>1831</v>
      </c>
    </row>
    <row r="72" spans="1:6" s="575" customFormat="1" x14ac:dyDescent="0.25">
      <c r="A72" s="588" t="str">
        <f t="shared" si="1"/>
        <v>04-D-067</v>
      </c>
      <c r="B72" s="867" t="str">
        <f t="shared" ca="1" si="4"/>
        <v>Tevens vind u hier ook de verdeelsleutel voor het bepalen welk team in welke achtste finale speelt.</v>
      </c>
      <c r="C72" s="575" t="s">
        <v>475</v>
      </c>
      <c r="D72" s="575" t="s">
        <v>961</v>
      </c>
      <c r="E72" s="575" t="s">
        <v>1520</v>
      </c>
      <c r="F72" s="575" t="s">
        <v>1832</v>
      </c>
    </row>
    <row r="73" spans="1:6" s="576" customFormat="1" x14ac:dyDescent="0.25">
      <c r="A73" s="587" t="str">
        <f t="shared" si="1"/>
        <v>04-D-068</v>
      </c>
      <c r="B73" s="868" t="str">
        <f t="shared" ca="1" si="4"/>
        <v>www.excel-pool.nl/4beste3</v>
      </c>
      <c r="C73" s="576" t="s">
        <v>473</v>
      </c>
      <c r="D73" s="576" t="s">
        <v>958</v>
      </c>
      <c r="E73" s="576" t="s">
        <v>958</v>
      </c>
      <c r="F73" s="576" t="s">
        <v>473</v>
      </c>
    </row>
    <row r="74" spans="1:6" s="575" customFormat="1" x14ac:dyDescent="0.25">
      <c r="A74" s="588" t="str">
        <f t="shared" si="1"/>
        <v>04-D-069</v>
      </c>
      <c r="B74" s="867" t="str">
        <f t="shared" ca="1" si="4"/>
        <v>Nr.1 Groep</v>
      </c>
      <c r="C74" s="575" t="s">
        <v>962</v>
      </c>
      <c r="D74" s="575" t="s">
        <v>965</v>
      </c>
      <c r="E74" s="575" t="s">
        <v>1521</v>
      </c>
      <c r="F74" s="575" t="s">
        <v>1833</v>
      </c>
    </row>
    <row r="75" spans="1:6" s="576" customFormat="1" x14ac:dyDescent="0.25">
      <c r="A75" s="587" t="str">
        <f t="shared" si="1"/>
        <v>04-D-070</v>
      </c>
      <c r="B75" s="868" t="str">
        <f t="shared" ca="1" si="4"/>
        <v>Nr.2 Groep</v>
      </c>
      <c r="C75" s="576" t="s">
        <v>964</v>
      </c>
      <c r="D75" s="576" t="s">
        <v>966</v>
      </c>
      <c r="E75" s="576" t="s">
        <v>1522</v>
      </c>
      <c r="F75" s="576" t="s">
        <v>1834</v>
      </c>
    </row>
    <row r="76" spans="1:6" s="575" customFormat="1" x14ac:dyDescent="0.25">
      <c r="A76" s="588" t="str">
        <f t="shared" si="1"/>
        <v>04-D-071</v>
      </c>
      <c r="B76" s="867" t="str">
        <f t="shared" ca="1" si="4"/>
        <v>Nr.3 Groep</v>
      </c>
      <c r="C76" s="575" t="s">
        <v>963</v>
      </c>
      <c r="D76" s="575" t="s">
        <v>967</v>
      </c>
      <c r="E76" s="575" t="s">
        <v>1523</v>
      </c>
      <c r="F76" s="575" t="s">
        <v>1835</v>
      </c>
    </row>
    <row r="77" spans="1:6" s="576" customFormat="1" x14ac:dyDescent="0.25">
      <c r="A77" s="587" t="str">
        <f t="shared" si="1"/>
        <v>04-D-072</v>
      </c>
      <c r="B77" s="868" t="str">
        <f t="shared" ca="1" si="4"/>
        <v>Win. Wedstrijd</v>
      </c>
      <c r="C77" s="576" t="s">
        <v>968</v>
      </c>
      <c r="D77" s="576" t="s">
        <v>970</v>
      </c>
      <c r="E77" s="576" t="s">
        <v>1524</v>
      </c>
      <c r="F77" s="576" t="s">
        <v>1836</v>
      </c>
    </row>
    <row r="78" spans="1:6" s="575" customFormat="1" x14ac:dyDescent="0.25">
      <c r="A78" s="588" t="str">
        <f t="shared" si="1"/>
        <v>04-D-073</v>
      </c>
      <c r="B78" s="867" t="str">
        <f t="shared" ca="1" si="4"/>
        <v>Verl. Wedstrijd</v>
      </c>
      <c r="C78" s="575" t="s">
        <v>969</v>
      </c>
      <c r="D78" s="575" t="s">
        <v>971</v>
      </c>
      <c r="E78" s="575" t="s">
        <v>1525</v>
      </c>
      <c r="F78" s="575" t="s">
        <v>1837</v>
      </c>
    </row>
    <row r="79" spans="1:6" s="576" customFormat="1" x14ac:dyDescent="0.25">
      <c r="A79" s="577" t="str">
        <f t="shared" si="1"/>
        <v>04-D-074</v>
      </c>
      <c r="B79" s="868"/>
    </row>
    <row r="80" spans="1:6" s="575" customFormat="1" x14ac:dyDescent="0.25">
      <c r="A80" s="588" t="str">
        <f t="shared" si="1"/>
        <v>04-D-075</v>
      </c>
      <c r="B80" s="867" t="str">
        <f ca="1">TRIM(INDIRECT(CHAR(64+$C$2)&amp;ROW()))</f>
        <v>Om u op weg te helpen kan op basis van voorgaande voorspellingen, mits volledig ingevuld, u een suggestie gegeven worden.</v>
      </c>
      <c r="C80" s="575" t="s">
        <v>1101</v>
      </c>
      <c r="D80" s="575" t="s">
        <v>1100</v>
      </c>
      <c r="E80" s="575" t="s">
        <v>1526</v>
      </c>
      <c r="F80" s="575" t="s">
        <v>1838</v>
      </c>
    </row>
    <row r="81" spans="1:6" s="576" customFormat="1" x14ac:dyDescent="0.25">
      <c r="A81" s="577" t="str">
        <f t="shared" si="1"/>
        <v>04-D-076</v>
      </c>
      <c r="B81" s="868"/>
    </row>
    <row r="82" spans="1:6" s="575" customFormat="1" x14ac:dyDescent="0.25">
      <c r="A82" s="588" t="str">
        <f t="shared" si="1"/>
        <v>04-D-077</v>
      </c>
      <c r="B82" s="867" t="str">
        <f t="shared" ref="B82:B122" ca="1" si="5">TRIM(INDIRECT(CHAR(64+$C$2)&amp;ROW()))</f>
        <v>De Openvragen</v>
      </c>
      <c r="C82" s="575" t="s">
        <v>296</v>
      </c>
      <c r="D82" s="575" t="s">
        <v>1004</v>
      </c>
      <c r="E82" s="575" t="s">
        <v>1527</v>
      </c>
      <c r="F82" s="575" t="s">
        <v>1839</v>
      </c>
    </row>
    <row r="83" spans="1:6" s="576" customFormat="1" x14ac:dyDescent="0.25">
      <c r="A83" s="587" t="str">
        <f t="shared" si="1"/>
        <v>04-D-078</v>
      </c>
      <c r="B83" s="868" t="str">
        <f t="shared" ca="1" si="5"/>
        <v>Voor elk goed beantwoorde openvraag ontvangt u ## punt.</v>
      </c>
      <c r="C83" s="576" t="s">
        <v>1060</v>
      </c>
      <c r="D83" s="576" t="s">
        <v>1006</v>
      </c>
      <c r="E83" s="576" t="s">
        <v>1528</v>
      </c>
      <c r="F83" s="576" t="s">
        <v>1840</v>
      </c>
    </row>
    <row r="84" spans="1:6" s="575" customFormat="1" x14ac:dyDescent="0.25">
      <c r="A84" s="588" t="str">
        <f t="shared" si="1"/>
        <v>04-D-079</v>
      </c>
      <c r="B84" s="867" t="str">
        <f t="shared" ca="1" si="5"/>
        <v>Voor elk goed beantwoorde openvraag ontvangt u ## punten.</v>
      </c>
      <c r="C84" s="575" t="s">
        <v>1061</v>
      </c>
      <c r="D84" s="575" t="s">
        <v>1007</v>
      </c>
      <c r="E84" s="575" t="s">
        <v>1529</v>
      </c>
      <c r="F84" s="575" t="s">
        <v>1840</v>
      </c>
    </row>
    <row r="85" spans="1:6" s="576" customFormat="1" x14ac:dyDescent="0.25">
      <c r="A85" s="587" t="str">
        <f t="shared" si="1"/>
        <v>04-D-080</v>
      </c>
      <c r="B85" s="868" t="str">
        <f t="shared" ca="1" si="5"/>
        <v>Voorspel de topscorer van het toernooi</v>
      </c>
      <c r="C85" s="576" t="s">
        <v>1008</v>
      </c>
      <c r="D85" s="576" t="s">
        <v>1011</v>
      </c>
      <c r="E85" s="576" t="s">
        <v>1530</v>
      </c>
      <c r="F85" s="576" t="s">
        <v>1841</v>
      </c>
    </row>
    <row r="86" spans="1:6" s="575" customFormat="1" x14ac:dyDescent="0.25">
      <c r="A86" s="588" t="str">
        <f t="shared" si="1"/>
        <v>04-D-081</v>
      </c>
      <c r="B86" s="867" t="str">
        <f t="shared" ca="1" si="5"/>
        <v>Voorspel een ​​speler die een eigen doelpunt scoort</v>
      </c>
      <c r="C86" s="575" t="s">
        <v>1009</v>
      </c>
      <c r="D86" s="575" t="s">
        <v>1012</v>
      </c>
      <c r="E86" s="575" t="s">
        <v>1531</v>
      </c>
      <c r="F86" s="575" t="s">
        <v>1842</v>
      </c>
    </row>
    <row r="87" spans="1:6" s="576" customFormat="1" x14ac:dyDescent="0.25">
      <c r="A87" s="587" t="str">
        <f t="shared" si="1"/>
        <v>04-D-082</v>
      </c>
      <c r="B87" s="868" t="str">
        <f t="shared" ca="1" si="5"/>
        <v>Voorspel een ​​speler die een rode kaart ontvangt</v>
      </c>
      <c r="C87" s="576" t="s">
        <v>1010</v>
      </c>
      <c r="D87" s="576" t="s">
        <v>1013</v>
      </c>
      <c r="E87" s="576" t="s">
        <v>1532</v>
      </c>
      <c r="F87" s="576" t="s">
        <v>1843</v>
      </c>
    </row>
    <row r="88" spans="1:6" s="575" customFormat="1" x14ac:dyDescent="0.25">
      <c r="A88" s="588" t="str">
        <f t="shared" si="1"/>
        <v>04-D-083</v>
      </c>
      <c r="B88" s="867" t="str">
        <f t="shared" ca="1" si="5"/>
        <v>Voorspel de topscorer van het Nationale elftal</v>
      </c>
      <c r="C88" s="575" t="s">
        <v>1015</v>
      </c>
      <c r="D88" s="575" t="s">
        <v>1014</v>
      </c>
      <c r="E88" s="575" t="s">
        <v>1533</v>
      </c>
      <c r="F88" s="575" t="s">
        <v>1844</v>
      </c>
    </row>
    <row r="89" spans="1:6" s="576" customFormat="1" x14ac:dyDescent="0.25">
      <c r="A89" s="587" t="str">
        <f t="shared" si="1"/>
        <v>04-D-084</v>
      </c>
      <c r="B89" s="868" t="str">
        <f t="shared" ca="1" si="5"/>
        <v>Voorspel de topscorer van het</v>
      </c>
      <c r="C89" s="576" t="s">
        <v>1016</v>
      </c>
      <c r="D89" s="576" t="s">
        <v>1017</v>
      </c>
      <c r="E89" s="576" t="s">
        <v>1534</v>
      </c>
      <c r="F89" s="576" t="s">
        <v>1845</v>
      </c>
    </row>
    <row r="90" spans="1:6" s="575" customFormat="1" x14ac:dyDescent="0.25">
      <c r="A90" s="588" t="str">
        <f t="shared" si="1"/>
        <v>04-D-085</v>
      </c>
      <c r="B90" s="867" t="str">
        <f t="shared" ca="1" si="5"/>
        <v>Voorspel het elftal met de meeste doelpunten</v>
      </c>
      <c r="C90" s="575" t="s">
        <v>1019</v>
      </c>
      <c r="D90" s="575" t="s">
        <v>1272</v>
      </c>
      <c r="E90" s="575" t="s">
        <v>1535</v>
      </c>
      <c r="F90" s="575" t="s">
        <v>1846</v>
      </c>
    </row>
    <row r="91" spans="1:6" s="576" customFormat="1" x14ac:dyDescent="0.25">
      <c r="A91" s="587" t="str">
        <f t="shared" si="1"/>
        <v>04-D-086</v>
      </c>
      <c r="B91" s="868" t="str">
        <f t="shared" ca="1" si="5"/>
        <v>Voorspel het elftal met de meeste doelpunten tegen</v>
      </c>
      <c r="C91" s="576" t="s">
        <v>1021</v>
      </c>
      <c r="D91" s="576" t="s">
        <v>1018</v>
      </c>
      <c r="E91" s="576" t="s">
        <v>1936</v>
      </c>
      <c r="F91" s="576" t="s">
        <v>1847</v>
      </c>
    </row>
    <row r="92" spans="1:6" s="575" customFormat="1" x14ac:dyDescent="0.25">
      <c r="A92" s="588" t="str">
        <f t="shared" si="1"/>
        <v>04-D-087</v>
      </c>
      <c r="B92" s="867" t="str">
        <f t="shared" ca="1" si="5"/>
        <v>Voorspel het elftal met de meeste rode en gele kaarten</v>
      </c>
      <c r="C92" s="575" t="s">
        <v>1020</v>
      </c>
      <c r="D92" s="575" t="s">
        <v>1022</v>
      </c>
      <c r="E92" s="575" t="s">
        <v>1536</v>
      </c>
      <c r="F92" s="575" t="s">
        <v>1848</v>
      </c>
    </row>
    <row r="93" spans="1:6" s="576" customFormat="1" x14ac:dyDescent="0.25">
      <c r="A93" s="587" t="str">
        <f t="shared" si="1"/>
        <v>04-D-088</v>
      </c>
      <c r="B93" s="868" t="str">
        <f t="shared" ca="1" si="5"/>
        <v>afhankelijk van het reglement worden de doelpunten gescoord tijdens de verlenging wel of niet meegeteld.</v>
      </c>
      <c r="C93" s="576" t="s">
        <v>1001</v>
      </c>
      <c r="D93" s="576" t="s">
        <v>1023</v>
      </c>
      <c r="E93" s="576" t="s">
        <v>1537</v>
      </c>
      <c r="F93" s="576" t="s">
        <v>1849</v>
      </c>
    </row>
    <row r="94" spans="1:6" s="575" customFormat="1" ht="15" customHeight="1" x14ac:dyDescent="0.25">
      <c r="A94" s="588" t="str">
        <f t="shared" si="1"/>
        <v>04-D-089</v>
      </c>
      <c r="B94" s="867" t="str">
        <f t="shared" ca="1" si="5"/>
        <v>alleen de doelpunten gescoord gedurende de reguliere speeltijd inclusief blessuretijd worden meegeteld.</v>
      </c>
      <c r="C94" s="575" t="s">
        <v>1002</v>
      </c>
      <c r="D94" s="575" t="s">
        <v>1005</v>
      </c>
      <c r="E94" s="575" t="s">
        <v>1538</v>
      </c>
      <c r="F94" s="575" t="s">
        <v>1850</v>
      </c>
    </row>
    <row r="95" spans="1:6" s="576" customFormat="1" x14ac:dyDescent="0.25">
      <c r="A95" s="587" t="str">
        <f t="shared" si="1"/>
        <v>04-D-090</v>
      </c>
      <c r="B95" s="868" t="str">
        <f t="shared" ca="1" si="5"/>
        <v>alleen de doelpunten gescoord gedurende de reguliere speeltijd, blessuretijd en eventuele verlenging worden meegeteld.</v>
      </c>
      <c r="C95" s="576" t="s">
        <v>1003</v>
      </c>
      <c r="D95" s="576" t="s">
        <v>1024</v>
      </c>
      <c r="E95" s="576" t="s">
        <v>1539</v>
      </c>
      <c r="F95" s="576" t="s">
        <v>1851</v>
      </c>
    </row>
    <row r="96" spans="1:6" s="575" customFormat="1" x14ac:dyDescent="0.25">
      <c r="A96" s="588" t="str">
        <f t="shared" si="1"/>
        <v>04-D-091</v>
      </c>
      <c r="B96" s="867" t="str">
        <f t="shared" ca="1" si="5"/>
        <v>één rode kaart wordt geteld als twee gele kaarten, bij indirect rood worden de gele kaarten niet meegeteld.</v>
      </c>
      <c r="C96" s="575" t="s">
        <v>1000</v>
      </c>
      <c r="D96" s="575" t="s">
        <v>1025</v>
      </c>
      <c r="E96" s="575" t="s">
        <v>1540</v>
      </c>
      <c r="F96" s="575" t="s">
        <v>1852</v>
      </c>
    </row>
    <row r="97" spans="1:6" s="576" customFormat="1" x14ac:dyDescent="0.25">
      <c r="A97" s="577" t="str">
        <f t="shared" si="1"/>
        <v>04-D-092</v>
      </c>
      <c r="B97" s="868" t="str">
        <f t="shared" ca="1" si="5"/>
        <v/>
      </c>
    </row>
    <row r="98" spans="1:6" s="575" customFormat="1" x14ac:dyDescent="0.25">
      <c r="A98" s="588" t="str">
        <f t="shared" ref="A98:A163" si="6">LEFT(A97,5)&amp;RIGHT("000"&amp;RIGHT(A97,3)*1+1,3)</f>
        <v>04-D-093</v>
      </c>
      <c r="B98" s="867" t="str">
        <f t="shared" ca="1" si="5"/>
        <v>De Benaderingsvragen</v>
      </c>
      <c r="C98" s="575" t="s">
        <v>297</v>
      </c>
      <c r="D98" s="575" t="s">
        <v>1035</v>
      </c>
      <c r="E98" s="575" t="s">
        <v>1541</v>
      </c>
      <c r="F98" s="575" t="s">
        <v>1853</v>
      </c>
    </row>
    <row r="99" spans="1:6" s="576" customFormat="1" x14ac:dyDescent="0.25">
      <c r="A99" s="587" t="str">
        <f t="shared" si="6"/>
        <v>04-D-094</v>
      </c>
      <c r="B99" s="868" t="str">
        <f t="shared" ca="1" si="5"/>
        <v>Voor elk goed beantwoorde benaderingsvraag ontvangt u ## punt.</v>
      </c>
      <c r="C99" s="576" t="s">
        <v>1062</v>
      </c>
      <c r="D99" s="576" t="s">
        <v>1041</v>
      </c>
      <c r="E99" s="576" t="s">
        <v>1542</v>
      </c>
      <c r="F99" s="576" t="s">
        <v>1854</v>
      </c>
    </row>
    <row r="100" spans="1:6" s="575" customFormat="1" x14ac:dyDescent="0.25">
      <c r="A100" s="588" t="str">
        <f t="shared" si="6"/>
        <v>04-D-095</v>
      </c>
      <c r="B100" s="867" t="str">
        <f t="shared" ca="1" si="5"/>
        <v>Voor elk goed beantwoorde benaderingsvraag ontvangt u ## punten.</v>
      </c>
      <c r="C100" s="575" t="s">
        <v>1063</v>
      </c>
      <c r="D100" s="575" t="s">
        <v>1036</v>
      </c>
      <c r="E100" s="575" t="s">
        <v>1543</v>
      </c>
      <c r="F100" s="575" t="s">
        <v>1854</v>
      </c>
    </row>
    <row r="101" spans="1:6" s="576" customFormat="1" x14ac:dyDescent="0.25">
      <c r="A101" s="587" t="str">
        <f t="shared" si="6"/>
        <v>04-D-096</v>
      </c>
      <c r="B101" s="868" t="str">
        <f t="shared" ca="1" si="5"/>
        <v>Voor elk punt dat de voorspelling afwijkt van de uitkomst $$ punt aftrek tot een maximum van ## punten per benaderingsvraag. Standaard ontvangt men voor elke benaderingsvraag ## punten.</v>
      </c>
      <c r="C101" s="576" t="s">
        <v>1266</v>
      </c>
      <c r="D101" s="576" t="s">
        <v>1043</v>
      </c>
      <c r="E101" s="576" t="s">
        <v>1544</v>
      </c>
      <c r="F101" s="576" t="s">
        <v>1855</v>
      </c>
    </row>
    <row r="102" spans="1:6" s="575" customFormat="1" x14ac:dyDescent="0.25">
      <c r="A102" s="588" t="str">
        <f t="shared" si="6"/>
        <v>04-D-097</v>
      </c>
      <c r="B102" s="867" t="str">
        <f t="shared" ca="1" si="5"/>
        <v>Voor elk punt dat de voorspelling afwijkt van de uitkomst $$ punten aftrek tot een maximum van ## punten per benaderingsvraag. Standaard ontvangt men voor elke benaderingsvraag ## punten.</v>
      </c>
      <c r="C102" s="575" t="s">
        <v>1267</v>
      </c>
      <c r="D102" s="575" t="s">
        <v>1042</v>
      </c>
      <c r="E102" s="575" t="s">
        <v>1545</v>
      </c>
      <c r="F102" s="575" t="s">
        <v>1856</v>
      </c>
    </row>
    <row r="103" spans="1:6" s="576" customFormat="1" x14ac:dyDescent="0.25">
      <c r="A103" s="587" t="str">
        <f t="shared" si="6"/>
        <v>04-D-098</v>
      </c>
      <c r="B103" s="868" t="str">
        <f t="shared" ca="1" si="5"/>
        <v>Per benaderingsvraag wordt de voorspelling die het dichtst bij de uitkomst ligt beloond met ## punt.</v>
      </c>
      <c r="C103" s="576" t="s">
        <v>1268</v>
      </c>
      <c r="D103" s="576" t="s">
        <v>1039</v>
      </c>
      <c r="E103" s="576" t="s">
        <v>1546</v>
      </c>
      <c r="F103" s="576" t="s">
        <v>1857</v>
      </c>
    </row>
    <row r="104" spans="1:6" s="575" customFormat="1" x14ac:dyDescent="0.25">
      <c r="A104" s="588" t="str">
        <f t="shared" si="6"/>
        <v>04-D-099</v>
      </c>
      <c r="B104" s="867" t="str">
        <f t="shared" ca="1" si="5"/>
        <v>Per benaderingsvraag wordt de voorspelling die het dichtst bij de uitkomst ligt beloond met ## punten.</v>
      </c>
      <c r="C104" s="575" t="s">
        <v>1269</v>
      </c>
      <c r="D104" s="575" t="s">
        <v>1037</v>
      </c>
      <c r="E104" s="575" t="s">
        <v>1547</v>
      </c>
      <c r="F104" s="575" t="s">
        <v>1858</v>
      </c>
    </row>
    <row r="105" spans="1:6" s="576" customFormat="1" x14ac:dyDescent="0.25">
      <c r="A105" s="587" t="str">
        <f t="shared" si="6"/>
        <v>04-D-100</v>
      </c>
      <c r="B105" s="868" t="str">
        <f t="shared" ca="1" si="5"/>
        <v>Per benaderingsvraag worden de $$ voorspellingen die het dichtst bij de uitkomst liggen beloond met ## punt.</v>
      </c>
      <c r="C105" s="576" t="s">
        <v>1270</v>
      </c>
      <c r="D105" s="576" t="s">
        <v>1040</v>
      </c>
      <c r="E105" s="576" t="s">
        <v>1548</v>
      </c>
      <c r="F105" s="576" t="s">
        <v>1859</v>
      </c>
    </row>
    <row r="106" spans="1:6" s="575" customFormat="1" x14ac:dyDescent="0.25">
      <c r="A106" s="588" t="str">
        <f t="shared" si="6"/>
        <v>04-D-101</v>
      </c>
      <c r="B106" s="867" t="str">
        <f t="shared" ca="1" si="5"/>
        <v>Per benaderingsvraag worden de $$ voorspellingen die het dichtst bij de uitkomst liggen beloond met ## punten.</v>
      </c>
      <c r="C106" s="575" t="s">
        <v>1271</v>
      </c>
      <c r="D106" s="575" t="s">
        <v>1038</v>
      </c>
      <c r="E106" s="575" t="s">
        <v>1549</v>
      </c>
      <c r="F106" s="575" t="s">
        <v>1860</v>
      </c>
    </row>
    <row r="107" spans="1:6" s="576" customFormat="1" x14ac:dyDescent="0.25">
      <c r="A107" s="587" t="str">
        <f t="shared" si="6"/>
        <v>04-D-102</v>
      </c>
      <c r="B107" s="868" t="str">
        <f t="shared" ca="1" si="5"/>
        <v>Totaal aantal gescoorde doelpunten tijdens het gehele toernooi</v>
      </c>
      <c r="C107" s="576" t="s">
        <v>1031</v>
      </c>
      <c r="D107" s="576" t="s">
        <v>1046</v>
      </c>
      <c r="E107" s="576" t="s">
        <v>1550</v>
      </c>
      <c r="F107" s="576" t="s">
        <v>1861</v>
      </c>
    </row>
    <row r="108" spans="1:6" s="575" customFormat="1" x14ac:dyDescent="0.25">
      <c r="A108" s="588" t="str">
        <f t="shared" si="6"/>
        <v>04-D-103</v>
      </c>
      <c r="B108" s="867" t="str">
        <f t="shared" ca="1" si="5"/>
        <v>Totaal aantal gegeven gele kaarten tijdens het gehele toernooi</v>
      </c>
      <c r="C108" s="575" t="s">
        <v>1028</v>
      </c>
      <c r="D108" s="575" t="s">
        <v>1044</v>
      </c>
      <c r="E108" s="575" t="s">
        <v>1551</v>
      </c>
      <c r="F108" s="575" t="s">
        <v>1862</v>
      </c>
    </row>
    <row r="109" spans="1:6" s="576" customFormat="1" x14ac:dyDescent="0.25">
      <c r="A109" s="587" t="str">
        <f t="shared" si="6"/>
        <v>04-D-104</v>
      </c>
      <c r="B109" s="868" t="str">
        <f t="shared" ca="1" si="5"/>
        <v>Totaal aantal gegeven rode kaarten tijdens het gehele toernooi</v>
      </c>
      <c r="C109" s="576" t="s">
        <v>1029</v>
      </c>
      <c r="D109" s="576" t="s">
        <v>1045</v>
      </c>
      <c r="E109" s="576" t="s">
        <v>1552</v>
      </c>
      <c r="F109" s="576" t="s">
        <v>1863</v>
      </c>
    </row>
    <row r="110" spans="1:6" s="575" customFormat="1" x14ac:dyDescent="0.25">
      <c r="A110" s="588" t="str">
        <f t="shared" si="6"/>
        <v>04-D-105</v>
      </c>
      <c r="B110" s="867" t="str">
        <f t="shared" ca="1" si="5"/>
        <v>Aantal wedstrijden die eindigen in een gelijkspel voor beide teams</v>
      </c>
      <c r="C110" s="575" t="s">
        <v>1030</v>
      </c>
      <c r="D110" s="575" t="s">
        <v>1047</v>
      </c>
      <c r="E110" s="575" t="s">
        <v>1553</v>
      </c>
      <c r="F110" s="575" t="s">
        <v>1864</v>
      </c>
    </row>
    <row r="111" spans="1:6" s="576" customFormat="1" x14ac:dyDescent="0.25">
      <c r="A111" s="587" t="str">
        <f t="shared" si="6"/>
        <v>04-D-106</v>
      </c>
      <c r="B111" s="868" t="str">
        <f t="shared" ca="1" si="5"/>
        <v>Aantal wedstrijden die eindigen in winst voor één van de teams</v>
      </c>
      <c r="C111" s="576" t="s">
        <v>1032</v>
      </c>
      <c r="D111" s="576" t="s">
        <v>1048</v>
      </c>
      <c r="E111" s="576" t="s">
        <v>1554</v>
      </c>
      <c r="F111" s="576" t="s">
        <v>1865</v>
      </c>
    </row>
    <row r="112" spans="1:6" s="575" customFormat="1" x14ac:dyDescent="0.25">
      <c r="A112" s="588" t="str">
        <f t="shared" si="6"/>
        <v>04-D-107</v>
      </c>
      <c r="B112" s="867" t="str">
        <f t="shared" ca="1" si="5"/>
        <v>twee gele kaarten voor één speler in een wedstrijd zal worden geteld als één rode kaart.</v>
      </c>
      <c r="C112" s="575" t="s">
        <v>1049</v>
      </c>
      <c r="D112" s="575" t="s">
        <v>1050</v>
      </c>
      <c r="E112" s="575" t="s">
        <v>1555</v>
      </c>
      <c r="F112" s="575" t="s">
        <v>1866</v>
      </c>
    </row>
    <row r="113" spans="1:6" s="576" customFormat="1" x14ac:dyDescent="0.25">
      <c r="A113" s="587" t="str">
        <f t="shared" si="6"/>
        <v>04-D-108</v>
      </c>
      <c r="B113" s="868" t="str">
        <f t="shared" ca="1" si="5"/>
        <v>de stand na de reguliere speeltijd inclusief blessuretijd wordt aangehouden.</v>
      </c>
      <c r="C113" s="576" t="s">
        <v>1033</v>
      </c>
      <c r="D113" s="576" t="s">
        <v>1051</v>
      </c>
      <c r="E113" s="576" t="s">
        <v>1556</v>
      </c>
      <c r="F113" s="576" t="s">
        <v>1867</v>
      </c>
    </row>
    <row r="114" spans="1:6" s="575" customFormat="1" x14ac:dyDescent="0.25">
      <c r="A114" s="588" t="str">
        <f t="shared" si="6"/>
        <v>04-D-109</v>
      </c>
      <c r="B114" s="867" t="str">
        <f t="shared" ca="1" si="5"/>
        <v>de stand na de reguliere speeltijd, blessurre tijd en eventuele verlenging wordt aangehouden.</v>
      </c>
      <c r="C114" s="575" t="s">
        <v>1034</v>
      </c>
      <c r="D114" s="575" t="s">
        <v>1052</v>
      </c>
      <c r="E114" s="575" t="s">
        <v>1557</v>
      </c>
      <c r="F114" s="575" t="s">
        <v>1868</v>
      </c>
    </row>
    <row r="115" spans="1:6" s="576" customFormat="1" x14ac:dyDescent="0.25">
      <c r="A115" s="587" t="str">
        <f t="shared" si="6"/>
        <v>04-D-110</v>
      </c>
      <c r="B115" s="868" t="str">
        <f t="shared" ca="1" si="5"/>
        <v>TIP</v>
      </c>
      <c r="C115" s="576" t="s">
        <v>1053</v>
      </c>
      <c r="D115" s="576" t="s">
        <v>1054</v>
      </c>
      <c r="E115" s="576" t="s">
        <v>1558</v>
      </c>
      <c r="F115" s="576" t="s">
        <v>1869</v>
      </c>
    </row>
    <row r="116" spans="1:6" s="575" customFormat="1" x14ac:dyDescent="0.25">
      <c r="A116" s="588" t="str">
        <f t="shared" si="6"/>
        <v>04-D-111</v>
      </c>
      <c r="B116" s="867" t="str">
        <f t="shared" ca="1" si="5"/>
        <v>Het toernooi bestaat uit 51 wedstrijden waarvan 36 groepswedstrijden en 15 finales.</v>
      </c>
      <c r="C116" s="575" t="s">
        <v>2428</v>
      </c>
      <c r="D116" s="575" t="s">
        <v>2429</v>
      </c>
      <c r="E116" s="575" t="s">
        <v>2430</v>
      </c>
      <c r="F116" s="575" t="s">
        <v>2431</v>
      </c>
    </row>
    <row r="117" spans="1:6" s="576" customFormat="1" x14ac:dyDescent="0.25">
      <c r="A117" s="587" t="str">
        <f t="shared" si="6"/>
        <v>04-D-112</v>
      </c>
      <c r="B117" s="868" t="str">
        <f t="shared" ca="1" si="5"/>
        <v>Het toernooi bestaat</v>
      </c>
      <c r="C117" s="576" t="s">
        <v>1098</v>
      </c>
      <c r="D117" s="576" t="s">
        <v>1096</v>
      </c>
      <c r="E117" s="576" t="s">
        <v>1953</v>
      </c>
      <c r="F117" s="576" t="s">
        <v>1955</v>
      </c>
    </row>
    <row r="118" spans="1:6" s="575" customFormat="1" x14ac:dyDescent="0.25">
      <c r="A118" s="588" t="str">
        <f t="shared" si="6"/>
        <v>04-D-113</v>
      </c>
      <c r="B118" s="867" t="str">
        <f t="shared" ca="1" si="5"/>
        <v>uit 51 wedstrijden</v>
      </c>
      <c r="C118" s="575" t="s">
        <v>2433</v>
      </c>
      <c r="D118" s="575" t="s">
        <v>2435</v>
      </c>
      <c r="E118" s="575" t="s">
        <v>2438</v>
      </c>
      <c r="F118" s="575" t="s">
        <v>2441</v>
      </c>
    </row>
    <row r="119" spans="1:6" s="576" customFormat="1" x14ac:dyDescent="0.25">
      <c r="A119" s="587" t="str">
        <f t="shared" si="6"/>
        <v>04-D-114</v>
      </c>
      <c r="B119" s="868" t="str">
        <f t="shared" ca="1" si="5"/>
        <v>waarvan 36 groeps-</v>
      </c>
      <c r="C119" s="576" t="s">
        <v>2434</v>
      </c>
      <c r="D119" s="576" t="s">
        <v>1097</v>
      </c>
      <c r="E119" s="576" t="s">
        <v>1954</v>
      </c>
      <c r="F119" s="576" t="s">
        <v>2442</v>
      </c>
    </row>
    <row r="120" spans="1:6" s="575" customFormat="1" x14ac:dyDescent="0.25">
      <c r="A120" s="588" t="str">
        <f t="shared" si="6"/>
        <v>04-D-115</v>
      </c>
      <c r="B120" s="867" t="str">
        <f t="shared" ca="1" si="5"/>
        <v>wedstrijden en 15</v>
      </c>
      <c r="C120" s="575" t="s">
        <v>2432</v>
      </c>
      <c r="D120" s="575" t="s">
        <v>2436</v>
      </c>
      <c r="E120" s="575" t="s">
        <v>2439</v>
      </c>
      <c r="F120" s="575" t="s">
        <v>2443</v>
      </c>
    </row>
    <row r="121" spans="1:6" s="576" customFormat="1" x14ac:dyDescent="0.25">
      <c r="A121" s="587" t="str">
        <f t="shared" si="6"/>
        <v>04-D-116</v>
      </c>
      <c r="B121" s="868" t="str">
        <f t="shared" ca="1" si="5"/>
        <v>finales.</v>
      </c>
      <c r="C121" s="576" t="s">
        <v>1099</v>
      </c>
      <c r="D121" s="576" t="s">
        <v>2437</v>
      </c>
      <c r="E121" s="576" t="s">
        <v>2440</v>
      </c>
      <c r="F121" s="576" t="s">
        <v>1956</v>
      </c>
    </row>
    <row r="122" spans="1:6" s="575" customFormat="1" x14ac:dyDescent="0.25">
      <c r="A122" s="580" t="str">
        <f t="shared" si="6"/>
        <v>04-D-117</v>
      </c>
      <c r="B122" s="867" t="str">
        <f t="shared" ca="1" si="5"/>
        <v/>
      </c>
    </row>
    <row r="123" spans="1:6" s="576" customFormat="1" x14ac:dyDescent="0.25">
      <c r="A123" s="577" t="str">
        <f t="shared" si="6"/>
        <v>04-D-118</v>
      </c>
      <c r="B123" s="868"/>
    </row>
    <row r="124" spans="1:6" s="575" customFormat="1" x14ac:dyDescent="0.25">
      <c r="A124" s="588" t="str">
        <f t="shared" si="6"/>
        <v>04-D-119</v>
      </c>
      <c r="B124" s="867" t="str">
        <f t="shared" ref="B124:B143" ca="1" si="7">TRIM(INDIRECT(CHAR(64+$C$2)&amp;ROW()))</f>
        <v>De Stellingen</v>
      </c>
      <c r="C124" s="575" t="s">
        <v>298</v>
      </c>
      <c r="D124" s="575" t="s">
        <v>1059</v>
      </c>
      <c r="E124" s="575" t="s">
        <v>1559</v>
      </c>
      <c r="F124" s="575" t="s">
        <v>1870</v>
      </c>
    </row>
    <row r="125" spans="1:6" s="576" customFormat="1" x14ac:dyDescent="0.25">
      <c r="A125" s="587" t="str">
        <f t="shared" si="6"/>
        <v>04-D-120</v>
      </c>
      <c r="B125" s="868" t="str">
        <f t="shared" ca="1" si="7"/>
        <v>Voor elk goed beantwoorde stelling ontvangt u ## punt.</v>
      </c>
      <c r="C125" s="576" t="s">
        <v>1088</v>
      </c>
      <c r="D125" s="576" t="s">
        <v>1090</v>
      </c>
      <c r="E125" s="576" t="s">
        <v>1560</v>
      </c>
      <c r="F125" s="576" t="s">
        <v>1871</v>
      </c>
    </row>
    <row r="126" spans="1:6" s="575" customFormat="1" x14ac:dyDescent="0.25">
      <c r="A126" s="588" t="str">
        <f t="shared" si="6"/>
        <v>04-D-121</v>
      </c>
      <c r="B126" s="867" t="str">
        <f t="shared" ca="1" si="7"/>
        <v>Voor elk goed beantwoorde stelling ontvangt u ## punten.</v>
      </c>
      <c r="C126" s="575" t="s">
        <v>1089</v>
      </c>
      <c r="D126" s="575" t="s">
        <v>1091</v>
      </c>
      <c r="E126" s="575" t="s">
        <v>1561</v>
      </c>
      <c r="F126" s="575" t="s">
        <v>1872</v>
      </c>
    </row>
    <row r="127" spans="1:6" s="576" customFormat="1" x14ac:dyDescent="0.25">
      <c r="A127" s="587" t="str">
        <f t="shared" si="6"/>
        <v>04-D-122</v>
      </c>
      <c r="B127" s="868" t="str">
        <f t="shared" ca="1" si="7"/>
        <v>Eens</v>
      </c>
      <c r="C127" s="576" t="s">
        <v>1092</v>
      </c>
      <c r="D127" s="576" t="s">
        <v>1094</v>
      </c>
      <c r="E127" s="576" t="s">
        <v>2012</v>
      </c>
      <c r="F127" s="576" t="s">
        <v>1873</v>
      </c>
    </row>
    <row r="128" spans="1:6" s="575" customFormat="1" x14ac:dyDescent="0.25">
      <c r="A128" s="588" t="str">
        <f t="shared" si="6"/>
        <v>04-D-123</v>
      </c>
      <c r="B128" s="867" t="str">
        <f t="shared" ca="1" si="7"/>
        <v>Oneens</v>
      </c>
      <c r="C128" s="575" t="s">
        <v>1093</v>
      </c>
      <c r="D128" s="575" t="s">
        <v>1095</v>
      </c>
      <c r="E128" s="575" t="s">
        <v>2013</v>
      </c>
      <c r="F128" s="575" t="s">
        <v>1874</v>
      </c>
    </row>
    <row r="129" spans="1:8" s="905" customFormat="1" x14ac:dyDescent="0.25">
      <c r="A129" s="587" t="str">
        <f t="shared" si="6"/>
        <v>04-D-124</v>
      </c>
      <c r="B129" s="868" t="str">
        <f t="shared" ca="1" si="7"/>
        <v>Net zoals tijdens EURO 2020 weten België, Duitsland, Engeland, Frankrijk, Italië, Nederland, Portugal en Spanje allen de achtste finales te bereiken.</v>
      </c>
      <c r="C129" s="576" t="s">
        <v>2521</v>
      </c>
      <c r="D129" s="576" t="s">
        <v>2546</v>
      </c>
      <c r="E129" s="576" t="s">
        <v>2524</v>
      </c>
      <c r="F129" s="576" t="s">
        <v>2547</v>
      </c>
    </row>
    <row r="130" spans="1:8" s="906" customFormat="1" x14ac:dyDescent="0.25">
      <c r="A130" s="588" t="str">
        <f t="shared" si="6"/>
        <v>04-D-125</v>
      </c>
      <c r="B130" s="867" t="str">
        <f t="shared" ca="1" si="7"/>
        <v>Van de vier landen die als beste nr. 3 doorgaan naar de achtste finales weet er minimaal één ook de kwartfinales te bereiken.</v>
      </c>
      <c r="C130" s="575" t="s">
        <v>2496</v>
      </c>
      <c r="D130" s="575" t="s">
        <v>2497</v>
      </c>
      <c r="E130" s="575" t="s">
        <v>2498</v>
      </c>
      <c r="F130" s="575" t="s">
        <v>2499</v>
      </c>
    </row>
    <row r="131" spans="1:8" s="905" customFormat="1" x14ac:dyDescent="0.25">
      <c r="A131" s="587" t="str">
        <f t="shared" si="6"/>
        <v>04-D-126</v>
      </c>
      <c r="B131" s="868" t="str">
        <f t="shared" ca="1" si="7"/>
        <v>Van de zes groepswinnaars weten er minimaal vijf de achtste finales te overleven en zo ook de kwartfinales te bereiken.</v>
      </c>
      <c r="C131" s="576" t="s">
        <v>2492</v>
      </c>
      <c r="D131" s="576" t="s">
        <v>2493</v>
      </c>
      <c r="E131" s="576" t="s">
        <v>2494</v>
      </c>
      <c r="F131" s="576" t="s">
        <v>2495</v>
      </c>
    </row>
    <row r="132" spans="1:8" s="906" customFormat="1" x14ac:dyDescent="0.25">
      <c r="A132" s="588" t="str">
        <f t="shared" si="6"/>
        <v>04-D-127</v>
      </c>
      <c r="B132" s="867" t="str">
        <f t="shared" ca="1" si="7"/>
        <v>Van de vijftien finale wedstrijden worden zes wedstrijden of meer beslist door een verlenging of strafschoppenserie.</v>
      </c>
      <c r="C132" s="575" t="s">
        <v>2500</v>
      </c>
      <c r="D132" s="575" t="s">
        <v>2501</v>
      </c>
      <c r="E132" s="575" t="s">
        <v>2502</v>
      </c>
      <c r="F132" s="575" t="s">
        <v>2503</v>
      </c>
    </row>
    <row r="133" spans="1:8" s="905" customFormat="1" x14ac:dyDescent="0.25">
      <c r="A133" s="587" t="str">
        <f t="shared" si="6"/>
        <v>04-D-128</v>
      </c>
      <c r="B133" s="868" t="str">
        <f t="shared" ca="1" si="7"/>
        <v>De finale van het toernooi zal worden gespeeld door twee landen die in de groepsfase eerste van de groep zijn geworden.</v>
      </c>
      <c r="C133" s="576" t="s">
        <v>2518</v>
      </c>
      <c r="D133" s="576" t="s">
        <v>2517</v>
      </c>
      <c r="E133" s="576" t="s">
        <v>2519</v>
      </c>
      <c r="F133" s="576" t="s">
        <v>2520</v>
      </c>
    </row>
    <row r="134" spans="1:8" s="906" customFormat="1" x14ac:dyDescent="0.25">
      <c r="A134" s="588" t="str">
        <f t="shared" si="6"/>
        <v>04-D-129</v>
      </c>
      <c r="B134" s="867" t="str">
        <f t="shared" ca="1" si="7"/>
        <v>Tijdens EURO 2020 stonden Engeland en Italië in de finale tegenover elkaar. Één of beide teams weten ook deze editie weer te finale te bereiken.</v>
      </c>
      <c r="C134" s="575" t="s">
        <v>2522</v>
      </c>
      <c r="D134" s="575" t="s">
        <v>2523</v>
      </c>
      <c r="E134" s="575" t="s">
        <v>2525</v>
      </c>
      <c r="F134" s="575" t="s">
        <v>2526</v>
      </c>
    </row>
    <row r="135" spans="1:8" s="905" customFormat="1" x14ac:dyDescent="0.25">
      <c r="A135" s="587" t="str">
        <f t="shared" si="6"/>
        <v>04-D-130</v>
      </c>
      <c r="B135" s="868" t="str">
        <f t="shared" ca="1" si="7"/>
        <v>Het land dat zich aan het einde van het toernooi Europees kampioen mag noemen is één van de landen uit groep A, B of C.</v>
      </c>
      <c r="C135" s="576" t="s">
        <v>2513</v>
      </c>
      <c r="D135" s="576" t="s">
        <v>2514</v>
      </c>
      <c r="E135" s="576" t="s">
        <v>2515</v>
      </c>
      <c r="F135" s="576" t="s">
        <v>2516</v>
      </c>
    </row>
    <row r="136" spans="1:8" s="906" customFormat="1" x14ac:dyDescent="0.25">
      <c r="A136" s="588" t="str">
        <f t="shared" si="6"/>
        <v>04-D-131</v>
      </c>
      <c r="B136" s="867" t="str">
        <f t="shared" ca="1" si="7"/>
        <v>De winnaar van het toernooi weet al zijn finalewedstrijden, 4 stuks, te winnen binnen de reguliere speeltijd (inclusief blessuretijd).</v>
      </c>
      <c r="C136" s="575" t="s">
        <v>1109</v>
      </c>
      <c r="D136" s="575" t="s">
        <v>1112</v>
      </c>
      <c r="E136" s="575" t="s">
        <v>1562</v>
      </c>
      <c r="F136" s="575" t="s">
        <v>1875</v>
      </c>
    </row>
    <row r="137" spans="1:8" s="905" customFormat="1" x14ac:dyDescent="0.25">
      <c r="A137" s="587" t="str">
        <f t="shared" si="6"/>
        <v>04-D-132</v>
      </c>
      <c r="B137" s="868" t="str">
        <f t="shared" ca="1" si="7"/>
        <v>De winnaar van het toernooi heeft een beter doelsaldo dan de andere teams. In geval van een gelijk doelsaldo zijn de gescoorde doelpunten doorslaggevend.</v>
      </c>
      <c r="C137" s="576" t="s">
        <v>1114</v>
      </c>
      <c r="D137" s="576" t="s">
        <v>1113</v>
      </c>
      <c r="E137" s="576" t="s">
        <v>1563</v>
      </c>
      <c r="F137" s="576" t="s">
        <v>1876</v>
      </c>
      <c r="H137" s="905" t="s">
        <v>1877</v>
      </c>
    </row>
    <row r="138" spans="1:8" s="906" customFormat="1" x14ac:dyDescent="0.25">
      <c r="A138" s="588" t="str">
        <f t="shared" si="6"/>
        <v>04-D-133</v>
      </c>
      <c r="B138" s="867" t="str">
        <f t="shared" ca="1" si="7"/>
        <v>De winnaar van het toernooi levert tevens ook de topscorer van het toernooi of één van de topscorers.</v>
      </c>
      <c r="C138" s="575" t="s">
        <v>2504</v>
      </c>
      <c r="D138" s="575" t="s">
        <v>1115</v>
      </c>
      <c r="E138" s="575" t="s">
        <v>1564</v>
      </c>
      <c r="F138" s="575" t="s">
        <v>1877</v>
      </c>
    </row>
    <row r="139" spans="1:8" s="905" customFormat="1" x14ac:dyDescent="0.25">
      <c r="A139" s="587" t="str">
        <f t="shared" si="6"/>
        <v>04-D-134</v>
      </c>
      <c r="B139" s="868" t="str">
        <f t="shared" ca="1" si="7"/>
        <v>Tijdens het toernooi weet een speler in één wedstrijd drie keer of meer te scoren, oftewel een hattrick. Benutte penalty's tijdens een strafschoppenserie tellen niet mee.</v>
      </c>
      <c r="C139" s="576" t="s">
        <v>1970</v>
      </c>
      <c r="D139" s="576" t="s">
        <v>1116</v>
      </c>
      <c r="E139" s="576" t="s">
        <v>1565</v>
      </c>
      <c r="F139" s="576" t="s">
        <v>1878</v>
      </c>
    </row>
    <row r="140" spans="1:8" s="906" customFormat="1" x14ac:dyDescent="0.25">
      <c r="A140" s="588" t="str">
        <f t="shared" si="6"/>
        <v>04-D-135</v>
      </c>
      <c r="B140" s="867" t="str">
        <f t="shared" ca="1" si="7"/>
        <v>Alle 24 deelnemende landen weten elk minimaal één keer te scoren gedurende het toernooi.</v>
      </c>
      <c r="C140" s="575" t="s">
        <v>2505</v>
      </c>
      <c r="D140" s="575" t="s">
        <v>2506</v>
      </c>
      <c r="E140" s="575" t="s">
        <v>2508</v>
      </c>
      <c r="F140" s="575" t="s">
        <v>2507</v>
      </c>
    </row>
    <row r="141" spans="1:8" s="905" customFormat="1" x14ac:dyDescent="0.25">
      <c r="A141" s="587" t="str">
        <f t="shared" si="6"/>
        <v>04-D-136</v>
      </c>
      <c r="B141" s="868" t="str">
        <f t="shared" ca="1" si="7"/>
        <v>Van alle gescoorde doelpunten tijdens het toernooi worden er minimaal vijf in eigen doel gescoord.</v>
      </c>
      <c r="C141" s="576" t="s">
        <v>2509</v>
      </c>
      <c r="D141" s="576" t="s">
        <v>2510</v>
      </c>
      <c r="E141" s="576" t="s">
        <v>2511</v>
      </c>
      <c r="F141" s="576" t="s">
        <v>2512</v>
      </c>
    </row>
    <row r="142" spans="1:8" s="906" customFormat="1" x14ac:dyDescent="0.25">
      <c r="A142" s="588" t="str">
        <f t="shared" si="6"/>
        <v>04-D-137</v>
      </c>
      <c r="B142" s="867" t="str">
        <f t="shared" ca="1" si="7"/>
        <v>Gedurende het toernooi worden er niet meer dan zes doelpunten gescoord in één wedstrijd (inclusief een eventuele verlenging).</v>
      </c>
      <c r="C142" s="575" t="s">
        <v>1998</v>
      </c>
      <c r="D142" s="575" t="s">
        <v>1999</v>
      </c>
      <c r="E142" s="575" t="str">
        <f>D142</f>
        <v>During the tournament, no more than six goals will be scored in one match (including any extra time).</v>
      </c>
      <c r="F142" s="575" t="s">
        <v>2262</v>
      </c>
    </row>
    <row r="143" spans="1:8" s="905" customFormat="1" x14ac:dyDescent="0.25">
      <c r="A143" s="587" t="str">
        <f t="shared" si="6"/>
        <v>04-D-138</v>
      </c>
      <c r="B143" s="868" t="str">
        <f t="shared" ca="1" si="7"/>
        <v>Gedurende het toernooi weet de scheidsrechter in twee of meerdere wedstrijden zijn kaarten op zak te houden.</v>
      </c>
      <c r="C143" s="576" t="s">
        <v>1966</v>
      </c>
      <c r="D143" s="576" t="s">
        <v>1967</v>
      </c>
      <c r="E143" s="576" t="s">
        <v>1969</v>
      </c>
      <c r="F143" s="576" t="s">
        <v>1968</v>
      </c>
    </row>
    <row r="144" spans="1:8" s="575" customFormat="1" x14ac:dyDescent="0.25">
      <c r="A144" s="580" t="str">
        <f t="shared" si="6"/>
        <v>04-D-139</v>
      </c>
      <c r="B144" s="867"/>
    </row>
    <row r="145" spans="1:6" s="576" customFormat="1" x14ac:dyDescent="0.25">
      <c r="A145" s="577" t="str">
        <f t="shared" si="6"/>
        <v>04-D-140</v>
      </c>
      <c r="B145" s="868"/>
    </row>
    <row r="146" spans="1:6" s="575" customFormat="1" x14ac:dyDescent="0.25">
      <c r="A146" s="588" t="str">
        <f t="shared" si="6"/>
        <v>04-D-141</v>
      </c>
      <c r="B146" s="867" t="str">
        <f t="shared" ref="B146:B156" ca="1" si="8">TRIM(INDIRECT(CHAR(64+$C$2)&amp;ROW()))</f>
        <v>onvoldoende gegevens voor suggestie</v>
      </c>
      <c r="C146" s="575" t="s">
        <v>1162</v>
      </c>
      <c r="D146" s="575" t="s">
        <v>1177</v>
      </c>
      <c r="E146" s="575" t="s">
        <v>1566</v>
      </c>
      <c r="F146" s="575" t="s">
        <v>1879</v>
      </c>
    </row>
    <row r="147" spans="1:6" s="576" customFormat="1" x14ac:dyDescent="0.25">
      <c r="A147" s="587" t="str">
        <f t="shared" si="6"/>
        <v>04-D-142</v>
      </c>
      <c r="B147" s="868" t="str">
        <f t="shared" ca="1" si="8"/>
        <v>geen suggestie mogelijk</v>
      </c>
      <c r="C147" s="576" t="s">
        <v>317</v>
      </c>
      <c r="D147" s="576" t="s">
        <v>1178</v>
      </c>
      <c r="E147" s="576" t="s">
        <v>1567</v>
      </c>
      <c r="F147" s="576" t="s">
        <v>1880</v>
      </c>
    </row>
    <row r="148" spans="1:6" s="575" customFormat="1" x14ac:dyDescent="0.25">
      <c r="A148" s="588" t="str">
        <f t="shared" si="6"/>
        <v>04-D-143</v>
      </c>
      <c r="B148" s="867" t="str">
        <f t="shared" ca="1" si="8"/>
        <v>suggestie is op basis van enkel de groepswedstrijden</v>
      </c>
      <c r="C148" s="575" t="s">
        <v>1169</v>
      </c>
      <c r="D148" s="575" t="s">
        <v>1179</v>
      </c>
      <c r="E148" s="575" t="s">
        <v>1568</v>
      </c>
      <c r="F148" s="575" t="s">
        <v>1881</v>
      </c>
    </row>
    <row r="149" spans="1:6" s="576" customFormat="1" x14ac:dyDescent="0.25">
      <c r="A149" s="587" t="str">
        <f t="shared" si="6"/>
        <v>04-D-144</v>
      </c>
      <c r="B149" s="868" t="str">
        <f t="shared" ca="1" si="8"/>
        <v>wedstrijden waarin de beslissing tijdens de verlenging valt zijn niet meegeteld</v>
      </c>
      <c r="C149" s="576" t="s">
        <v>1988</v>
      </c>
      <c r="D149" s="576" t="s">
        <v>1986</v>
      </c>
      <c r="E149" s="576" t="s">
        <v>1992</v>
      </c>
      <c r="F149" s="576" t="s">
        <v>1991</v>
      </c>
    </row>
    <row r="150" spans="1:6" s="575" customFormat="1" x14ac:dyDescent="0.25">
      <c r="A150" s="588" t="str">
        <f t="shared" si="6"/>
        <v>04-D-145</v>
      </c>
      <c r="B150" s="867" t="str">
        <f t="shared" ca="1" si="8"/>
        <v>doelpunten gescoord tijdens een eventuele verlenging zijn niet meegeteld</v>
      </c>
      <c r="C150" s="575" t="s">
        <v>1985</v>
      </c>
      <c r="D150" s="575" t="s">
        <v>1987</v>
      </c>
      <c r="E150" s="575" t="s">
        <v>1989</v>
      </c>
      <c r="F150" s="575" t="s">
        <v>1990</v>
      </c>
    </row>
    <row r="151" spans="1:6" s="576" customFormat="1" x14ac:dyDescent="0.25">
      <c r="A151" s="587" t="str">
        <f t="shared" si="6"/>
        <v>04-D-146</v>
      </c>
      <c r="B151" s="868" t="str">
        <f t="shared" ca="1" si="8"/>
        <v>doelpunt</v>
      </c>
      <c r="C151" s="576" t="s">
        <v>1163</v>
      </c>
      <c r="D151" s="576" t="s">
        <v>1171</v>
      </c>
      <c r="E151" s="576" t="s">
        <v>1569</v>
      </c>
      <c r="F151" s="576" t="s">
        <v>1882</v>
      </c>
    </row>
    <row r="152" spans="1:6" s="575" customFormat="1" x14ac:dyDescent="0.25">
      <c r="A152" s="588" t="str">
        <f t="shared" si="6"/>
        <v>04-D-147</v>
      </c>
      <c r="B152" s="867" t="str">
        <f t="shared" ca="1" si="8"/>
        <v>doelpunten</v>
      </c>
      <c r="C152" s="575" t="s">
        <v>1164</v>
      </c>
      <c r="D152" s="575" t="s">
        <v>1172</v>
      </c>
      <c r="E152" s="575" t="s">
        <v>1570</v>
      </c>
      <c r="F152" s="575" t="s">
        <v>1882</v>
      </c>
    </row>
    <row r="153" spans="1:6" s="576" customFormat="1" x14ac:dyDescent="0.25">
      <c r="A153" s="587" t="str">
        <f t="shared" si="6"/>
        <v>04-D-148</v>
      </c>
      <c r="B153" s="868" t="str">
        <f t="shared" ca="1" si="8"/>
        <v>geen enkele keer gelijkspel voorspeld</v>
      </c>
      <c r="C153" s="576" t="s">
        <v>1165</v>
      </c>
      <c r="D153" s="576" t="s">
        <v>1173</v>
      </c>
      <c r="E153" s="576" t="s">
        <v>1571</v>
      </c>
      <c r="F153" s="576" t="s">
        <v>1883</v>
      </c>
    </row>
    <row r="154" spans="1:6" s="575" customFormat="1" x14ac:dyDescent="0.25">
      <c r="A154" s="588" t="str">
        <f t="shared" si="6"/>
        <v>04-D-149</v>
      </c>
      <c r="B154" s="867" t="str">
        <f t="shared" ca="1" si="8"/>
        <v>keer gelijkspel voorspeld</v>
      </c>
      <c r="C154" s="575" t="s">
        <v>1166</v>
      </c>
      <c r="D154" s="575" t="s">
        <v>1174</v>
      </c>
      <c r="E154" s="575" t="s">
        <v>1572</v>
      </c>
      <c r="F154" s="575" t="s">
        <v>1884</v>
      </c>
    </row>
    <row r="155" spans="1:6" s="576" customFormat="1" x14ac:dyDescent="0.25">
      <c r="A155" s="587" t="str">
        <f t="shared" si="6"/>
        <v>04-D-150</v>
      </c>
      <c r="B155" s="868" t="str">
        <f t="shared" ca="1" si="8"/>
        <v>geen enkele keer winst / verlies voorspeld</v>
      </c>
      <c r="C155" s="576" t="s">
        <v>1170</v>
      </c>
      <c r="D155" s="576" t="s">
        <v>1175</v>
      </c>
      <c r="E155" s="576" t="s">
        <v>1573</v>
      </c>
      <c r="F155" s="576" t="s">
        <v>1885</v>
      </c>
    </row>
    <row r="156" spans="1:6" s="575" customFormat="1" x14ac:dyDescent="0.25">
      <c r="A156" s="588" t="str">
        <f t="shared" si="6"/>
        <v>04-D-151</v>
      </c>
      <c r="B156" s="867" t="str">
        <f t="shared" ca="1" si="8"/>
        <v>keer winst/verlies voorspeld</v>
      </c>
      <c r="C156" s="575" t="s">
        <v>1167</v>
      </c>
      <c r="D156" s="575" t="s">
        <v>1176</v>
      </c>
      <c r="E156" s="575" t="s">
        <v>1574</v>
      </c>
      <c r="F156" s="575" t="s">
        <v>1886</v>
      </c>
    </row>
    <row r="157" spans="1:6" s="576" customFormat="1" x14ac:dyDescent="0.25">
      <c r="A157" s="577" t="str">
        <f t="shared" si="6"/>
        <v>04-D-152</v>
      </c>
      <c r="B157" s="868"/>
    </row>
    <row r="158" spans="1:6" s="575" customFormat="1" x14ac:dyDescent="0.25">
      <c r="A158" s="580" t="str">
        <f t="shared" si="6"/>
        <v>04-D-153</v>
      </c>
      <c r="B158" s="867"/>
    </row>
    <row r="159" spans="1:6" s="576" customFormat="1" x14ac:dyDescent="0.25">
      <c r="A159" s="587" t="str">
        <f t="shared" si="6"/>
        <v>04-D-154</v>
      </c>
      <c r="B159" s="868" t="str">
        <f ca="1">TRIM(INDIRECT(CHAR(64+$C$2)&amp;ROW()))</f>
        <v>De Deelnamecode</v>
      </c>
      <c r="C159" s="576" t="s">
        <v>357</v>
      </c>
      <c r="D159" s="576" t="s">
        <v>1180</v>
      </c>
      <c r="E159" s="576" t="s">
        <v>1575</v>
      </c>
      <c r="F159" s="576" t="s">
        <v>1887</v>
      </c>
    </row>
    <row r="160" spans="1:6" s="575" customFormat="1" x14ac:dyDescent="0.25">
      <c r="A160" s="588" t="str">
        <f t="shared" si="6"/>
        <v>04-D-155</v>
      </c>
      <c r="B160" s="867" t="str">
        <f ca="1">TRIM(INDIRECT(CHAR(64+$C$2)&amp;ROW()))</f>
        <v>Controle Onderdelen</v>
      </c>
      <c r="C160" s="575" t="s">
        <v>358</v>
      </c>
      <c r="D160" s="575" t="s">
        <v>1236</v>
      </c>
      <c r="E160" s="575" t="s">
        <v>1576</v>
      </c>
      <c r="F160" s="575" t="s">
        <v>1888</v>
      </c>
    </row>
    <row r="161" spans="1:6" s="576" customFormat="1" x14ac:dyDescent="0.25">
      <c r="A161" s="577" t="str">
        <f t="shared" si="6"/>
        <v>04-D-156</v>
      </c>
      <c r="B161" s="868"/>
    </row>
    <row r="162" spans="1:6" s="575" customFormat="1" x14ac:dyDescent="0.25">
      <c r="A162" s="588" t="str">
        <f t="shared" si="6"/>
        <v>04-D-157</v>
      </c>
      <c r="B162" s="867" t="str">
        <f t="shared" ref="B162:B193" ca="1" si="9">TRIM(INDIRECT(CHAR(64+$C$2)&amp;ROW()))</f>
        <v>Gegevens Deelnemer</v>
      </c>
      <c r="C162" s="575" t="s">
        <v>1183</v>
      </c>
      <c r="D162" s="575" t="s">
        <v>1233</v>
      </c>
      <c r="E162" s="575" t="s">
        <v>1577</v>
      </c>
      <c r="F162" s="575" t="s">
        <v>1889</v>
      </c>
    </row>
    <row r="163" spans="1:6" s="576" customFormat="1" x14ac:dyDescent="0.25">
      <c r="A163" s="587" t="str">
        <f t="shared" si="6"/>
        <v>04-D-158</v>
      </c>
      <c r="B163" s="868" t="str">
        <f t="shared" ca="1" si="9"/>
        <v>Het generen van de naamcode is niet mogelijk in verband met het ontbreken van uw naam. Voer uw naam in</v>
      </c>
      <c r="C163" s="576" t="s">
        <v>561</v>
      </c>
      <c r="D163" s="576" t="s">
        <v>1184</v>
      </c>
      <c r="E163" s="576" t="s">
        <v>1578</v>
      </c>
      <c r="F163" s="576" t="s">
        <v>1890</v>
      </c>
    </row>
    <row r="164" spans="1:6" s="575" customFormat="1" x14ac:dyDescent="0.25">
      <c r="A164" s="588" t="str">
        <f t="shared" ref="A164:A233" si="10">LEFT(A163,5)&amp;RIGHT("000"&amp;RIGHT(A163,3)*1+1,3)</f>
        <v>04-D-159</v>
      </c>
      <c r="B164" s="867" t="str">
        <f t="shared" ca="1" si="9"/>
        <v>bovenaan het werkblad "Groepswedstrijden".</v>
      </c>
      <c r="C164" s="575" t="s">
        <v>560</v>
      </c>
      <c r="D164" s="575" t="s">
        <v>1185</v>
      </c>
      <c r="E164" s="575" t="s">
        <v>1579</v>
      </c>
      <c r="F164" s="575" t="s">
        <v>1891</v>
      </c>
    </row>
    <row r="165" spans="1:6" s="576" customFormat="1" x14ac:dyDescent="0.25">
      <c r="A165" s="587" t="str">
        <f t="shared" si="10"/>
        <v>04-D-160</v>
      </c>
      <c r="B165" s="868" t="str">
        <f t="shared" ca="1" si="9"/>
        <v>Het generen van de naamcode is niet mogelijk in verband met het ontbreken van uw e-mailadres. Voer uw</v>
      </c>
      <c r="C165" s="576" t="s">
        <v>563</v>
      </c>
      <c r="D165" s="576" t="s">
        <v>1186</v>
      </c>
      <c r="E165" s="576" t="s">
        <v>1580</v>
      </c>
      <c r="F165" s="576" t="s">
        <v>1892</v>
      </c>
    </row>
    <row r="166" spans="1:6" s="575" customFormat="1" x14ac:dyDescent="0.25">
      <c r="A166" s="588" t="str">
        <f t="shared" si="10"/>
        <v>04-D-161</v>
      </c>
      <c r="B166" s="867" t="str">
        <f t="shared" ca="1" si="9"/>
        <v>e-mailadres in bovenaan het werkblad "Groepswedstrijden".</v>
      </c>
      <c r="C166" s="575" t="s">
        <v>562</v>
      </c>
      <c r="D166" s="575" t="s">
        <v>1187</v>
      </c>
      <c r="E166" s="575" t="s">
        <v>1581</v>
      </c>
      <c r="F166" s="575" t="s">
        <v>1893</v>
      </c>
    </row>
    <row r="167" spans="1:6" s="576" customFormat="1" x14ac:dyDescent="0.25">
      <c r="A167" s="587" t="str">
        <f t="shared" si="10"/>
        <v>04-D-162</v>
      </c>
      <c r="B167" s="868" t="str">
        <f t="shared" ca="1" si="9"/>
        <v>Het generen van de naamcode incluslief e-mailadres is niet mogelijk in verband met het ontbreken van</v>
      </c>
      <c r="C167" s="576" t="s">
        <v>570</v>
      </c>
      <c r="D167" s="576" t="s">
        <v>1188</v>
      </c>
      <c r="E167" s="576" t="s">
        <v>1582</v>
      </c>
      <c r="F167" s="576" t="s">
        <v>1894</v>
      </c>
    </row>
    <row r="168" spans="1:6" s="575" customFormat="1" x14ac:dyDescent="0.25">
      <c r="A168" s="588" t="str">
        <f t="shared" si="10"/>
        <v>04-D-163</v>
      </c>
      <c r="B168" s="867" t="str">
        <f t="shared" ca="1" si="9"/>
        <v>gegevens. Voer uw naam en e-mailadres in bovenaan het werkblad "Groepswedstrijden".</v>
      </c>
      <c r="C168" s="575" t="s">
        <v>569</v>
      </c>
      <c r="D168" s="575" t="s">
        <v>1189</v>
      </c>
      <c r="E168" s="575" t="s">
        <v>1583</v>
      </c>
      <c r="F168" s="575" t="s">
        <v>1895</v>
      </c>
    </row>
    <row r="169" spans="1:6" s="576" customFormat="1" x14ac:dyDescent="0.25">
      <c r="A169" s="587" t="str">
        <f t="shared" si="10"/>
        <v>04-D-164</v>
      </c>
      <c r="B169" s="868" t="str">
        <f t="shared" ca="1" si="9"/>
        <v>Bij het genereren van de naamcode is er een fout geconstateerd. Controleer uw naam bovenaan het</v>
      </c>
      <c r="C169" s="576" t="s">
        <v>566</v>
      </c>
      <c r="D169" s="576" t="s">
        <v>1192</v>
      </c>
      <c r="E169" s="576" t="s">
        <v>1584</v>
      </c>
      <c r="F169" s="576" t="s">
        <v>1896</v>
      </c>
    </row>
    <row r="170" spans="1:6" s="575" customFormat="1" x14ac:dyDescent="0.25">
      <c r="A170" s="588" t="str">
        <f t="shared" si="10"/>
        <v>04-D-165</v>
      </c>
      <c r="B170" s="867" t="str">
        <f t="shared" ca="1" si="9"/>
        <v>werkblad "Groepswedstrijden".</v>
      </c>
      <c r="C170" s="575" t="s">
        <v>564</v>
      </c>
      <c r="D170" s="575" t="s">
        <v>1193</v>
      </c>
      <c r="E170" s="575" t="s">
        <v>1585</v>
      </c>
      <c r="F170" s="575" t="s">
        <v>1897</v>
      </c>
    </row>
    <row r="171" spans="1:6" s="576" customFormat="1" x14ac:dyDescent="0.25">
      <c r="A171" s="587" t="str">
        <f t="shared" si="10"/>
        <v>04-D-166</v>
      </c>
      <c r="B171" s="868" t="str">
        <f t="shared" ca="1" si="9"/>
        <v>Bij het genereren van de naamcode is er een fout geconstateerd. Controleer uw e-mailadres bovenaan het</v>
      </c>
      <c r="C171" s="576" t="s">
        <v>565</v>
      </c>
      <c r="D171" s="576" t="s">
        <v>1194</v>
      </c>
      <c r="E171" s="576" t="s">
        <v>1586</v>
      </c>
      <c r="F171" s="576" t="s">
        <v>1898</v>
      </c>
    </row>
    <row r="172" spans="1:6" s="575" customFormat="1" x14ac:dyDescent="0.25">
      <c r="A172" s="588" t="str">
        <f t="shared" si="10"/>
        <v>04-D-167</v>
      </c>
      <c r="B172" s="867" t="str">
        <f t="shared" ca="1" si="9"/>
        <v>werkblad "Groepswedstrijden".</v>
      </c>
      <c r="C172" s="575" t="s">
        <v>564</v>
      </c>
      <c r="D172" s="575" t="s">
        <v>1185</v>
      </c>
      <c r="E172" s="575" t="s">
        <v>1579</v>
      </c>
      <c r="F172" s="575" t="s">
        <v>1897</v>
      </c>
    </row>
    <row r="173" spans="1:6" s="576" customFormat="1" x14ac:dyDescent="0.25">
      <c r="A173" s="587" t="str">
        <f t="shared" si="10"/>
        <v>04-D-168</v>
      </c>
      <c r="B173" s="868" t="str">
        <f t="shared" ca="1" si="9"/>
        <v>Bij het genereren van de naamcode met e-mailadres is er een fout geconstateerd. Controleer uw naam en</v>
      </c>
      <c r="C173" s="576" t="s">
        <v>568</v>
      </c>
      <c r="D173" s="576" t="s">
        <v>1195</v>
      </c>
      <c r="E173" s="576" t="s">
        <v>1587</v>
      </c>
      <c r="F173" s="576" t="s">
        <v>1899</v>
      </c>
    </row>
    <row r="174" spans="1:6" s="575" customFormat="1" x14ac:dyDescent="0.25">
      <c r="A174" s="588" t="str">
        <f t="shared" si="10"/>
        <v>04-D-169</v>
      </c>
      <c r="B174" s="867" t="str">
        <f t="shared" ca="1" si="9"/>
        <v>e-mailadres bovenaan het werkblad "Groepswedstrijden".</v>
      </c>
      <c r="C174" s="575" t="s">
        <v>567</v>
      </c>
      <c r="D174" s="575" t="s">
        <v>1196</v>
      </c>
      <c r="E174" s="575" t="s">
        <v>1588</v>
      </c>
      <c r="F174" s="575" t="s">
        <v>1893</v>
      </c>
    </row>
    <row r="175" spans="1:6" s="576" customFormat="1" x14ac:dyDescent="0.25">
      <c r="A175" s="587" t="str">
        <f t="shared" si="10"/>
        <v>04-D-170</v>
      </c>
      <c r="B175" s="868" t="str">
        <f t="shared" ca="1" si="9"/>
        <v>De naamcode is zonder foutmeldingen gegenereerd.</v>
      </c>
      <c r="C175" s="576" t="s">
        <v>362</v>
      </c>
      <c r="D175" s="576" t="s">
        <v>1191</v>
      </c>
      <c r="E175" s="576" t="s">
        <v>1589</v>
      </c>
      <c r="F175" s="576" t="s">
        <v>1900</v>
      </c>
    </row>
    <row r="176" spans="1:6" s="575" customFormat="1" x14ac:dyDescent="0.25">
      <c r="A176" s="588" t="str">
        <f t="shared" si="10"/>
        <v>04-D-171</v>
      </c>
      <c r="B176" s="867" t="str">
        <f t="shared" ca="1" si="9"/>
        <v>De naamcode inclusief e-mailadres is zonder foutmeldingen gegenereerd.</v>
      </c>
      <c r="C176" s="575" t="s">
        <v>550</v>
      </c>
      <c r="D176" s="575" t="s">
        <v>1190</v>
      </c>
      <c r="E176" s="575" t="s">
        <v>1590</v>
      </c>
      <c r="F176" s="575" t="s">
        <v>1901</v>
      </c>
    </row>
    <row r="177" spans="1:6" s="576" customFormat="1" x14ac:dyDescent="0.25">
      <c r="A177" s="577" t="str">
        <f t="shared" si="10"/>
        <v>04-D-172</v>
      </c>
      <c r="B177" s="868" t="str">
        <f t="shared" ca="1" si="9"/>
        <v/>
      </c>
    </row>
    <row r="178" spans="1:6" s="575" customFormat="1" x14ac:dyDescent="0.25">
      <c r="A178" s="588" t="str">
        <f t="shared" si="10"/>
        <v>04-D-173</v>
      </c>
      <c r="B178" s="867" t="str">
        <f t="shared" ca="1" si="9"/>
        <v>Voorspellingen Groepswedstrijden</v>
      </c>
      <c r="C178" s="575" t="s">
        <v>1197</v>
      </c>
      <c r="D178" s="575" t="s">
        <v>1198</v>
      </c>
      <c r="E178" s="575" t="s">
        <v>1591</v>
      </c>
      <c r="F178" s="575" t="s">
        <v>1902</v>
      </c>
    </row>
    <row r="179" spans="1:6" s="576" customFormat="1" x14ac:dyDescent="0.25">
      <c r="A179" s="587" t="str">
        <f t="shared" si="10"/>
        <v>04-D-174</v>
      </c>
      <c r="B179" s="868" t="str">
        <f t="shared" ca="1" si="9"/>
        <v>Het genereren van de deelnamecode voor de groepswedstrijden is niet mogelijk in verband met het ontbreken</v>
      </c>
      <c r="C179" s="576" t="s">
        <v>366</v>
      </c>
      <c r="D179" s="576" t="s">
        <v>1200</v>
      </c>
      <c r="E179" s="576" t="s">
        <v>1592</v>
      </c>
      <c r="F179" s="576" t="s">
        <v>1903</v>
      </c>
    </row>
    <row r="180" spans="1:6" s="575" customFormat="1" x14ac:dyDescent="0.25">
      <c r="A180" s="588" t="str">
        <f t="shared" si="10"/>
        <v>04-D-175</v>
      </c>
      <c r="B180" s="867" t="str">
        <f t="shared" ca="1" si="9"/>
        <v>van gegevens. Controleer of alle velden zijn ingevuld op het werkblad "Groepswedstrijden".</v>
      </c>
      <c r="C180" s="575" t="s">
        <v>551</v>
      </c>
      <c r="D180" s="575" t="s">
        <v>1201</v>
      </c>
      <c r="E180" s="575" t="s">
        <v>1593</v>
      </c>
      <c r="F180" s="575" t="s">
        <v>1904</v>
      </c>
    </row>
    <row r="181" spans="1:6" s="576" customFormat="1" x14ac:dyDescent="0.25">
      <c r="A181" s="587" t="str">
        <f t="shared" si="10"/>
        <v>04-D-176</v>
      </c>
      <c r="B181" s="868" t="str">
        <f t="shared" ca="1" si="9"/>
        <v>Bij het genereren van de deelnamecode voor de groepswedstrijden is er een fout geconstateerd. Controleer uw</v>
      </c>
      <c r="C181" s="576" t="s">
        <v>368</v>
      </c>
      <c r="D181" s="576" t="s">
        <v>1202</v>
      </c>
      <c r="E181" s="576" t="s">
        <v>1594</v>
      </c>
      <c r="F181" s="576" t="s">
        <v>1905</v>
      </c>
    </row>
    <row r="182" spans="1:6" s="575" customFormat="1" x14ac:dyDescent="0.25">
      <c r="A182" s="588" t="str">
        <f t="shared" si="10"/>
        <v>04-D-177</v>
      </c>
      <c r="B182" s="867" t="str">
        <f t="shared" ca="1" si="9"/>
        <v>invoer op het werkblad "Groepswedstrijden".</v>
      </c>
      <c r="C182" s="575" t="s">
        <v>552</v>
      </c>
      <c r="D182" s="575" t="s">
        <v>1203</v>
      </c>
      <c r="E182" s="575" t="s">
        <v>1595</v>
      </c>
      <c r="F182" s="575" t="s">
        <v>1906</v>
      </c>
    </row>
    <row r="183" spans="1:6" s="576" customFormat="1" x14ac:dyDescent="0.25">
      <c r="A183" s="587" t="str">
        <f t="shared" si="10"/>
        <v>04-D-178</v>
      </c>
      <c r="B183" s="868" t="str">
        <f t="shared" ca="1" si="9"/>
        <v>Bij het genereren van de deelnamecode voor de groepswedstrijden zijn er fouten geconstateerd. Controleer uw</v>
      </c>
      <c r="C183" s="576" t="s">
        <v>370</v>
      </c>
      <c r="D183" s="576" t="s">
        <v>1204</v>
      </c>
      <c r="E183" s="576" t="s">
        <v>1596</v>
      </c>
      <c r="F183" s="576" t="s">
        <v>1907</v>
      </c>
    </row>
    <row r="184" spans="1:6" s="575" customFormat="1" x14ac:dyDescent="0.25">
      <c r="A184" s="588" t="str">
        <f t="shared" si="10"/>
        <v>04-D-179</v>
      </c>
      <c r="B184" s="867" t="str">
        <f t="shared" ca="1" si="9"/>
        <v>invoer op het werkblad "Groepswedstrijden".</v>
      </c>
      <c r="C184" s="575" t="s">
        <v>552</v>
      </c>
      <c r="D184" s="575" t="s">
        <v>1205</v>
      </c>
      <c r="E184" s="575" t="s">
        <v>1597</v>
      </c>
      <c r="F184" s="575" t="s">
        <v>1908</v>
      </c>
    </row>
    <row r="185" spans="1:6" s="576" customFormat="1" x14ac:dyDescent="0.25">
      <c r="A185" s="587" t="str">
        <f t="shared" si="10"/>
        <v>04-D-180</v>
      </c>
      <c r="B185" s="868" t="str">
        <f t="shared" ca="1" si="9"/>
        <v>De deelnamecode voor de groepswedstrijden is zonder foutmeldingen gegenereerd.</v>
      </c>
      <c r="C185" s="576" t="s">
        <v>372</v>
      </c>
      <c r="D185" s="576" t="s">
        <v>1199</v>
      </c>
      <c r="E185" s="576" t="s">
        <v>1598</v>
      </c>
      <c r="F185" s="576" t="s">
        <v>1909</v>
      </c>
    </row>
    <row r="186" spans="1:6" s="575" customFormat="1" x14ac:dyDescent="0.25">
      <c r="A186" s="580" t="str">
        <f t="shared" si="10"/>
        <v>04-D-181</v>
      </c>
      <c r="B186" s="867" t="str">
        <f t="shared" ca="1" si="9"/>
        <v/>
      </c>
    </row>
    <row r="187" spans="1:6" s="576" customFormat="1" x14ac:dyDescent="0.25">
      <c r="A187" s="587" t="str">
        <f t="shared" si="10"/>
        <v>04-D-182</v>
      </c>
      <c r="B187" s="868" t="str">
        <f t="shared" ca="1" si="9"/>
        <v>Voorspellingen Eindstand in de Groep</v>
      </c>
      <c r="C187" s="576" t="s">
        <v>1211</v>
      </c>
      <c r="D187" s="576" t="s">
        <v>1232</v>
      </c>
      <c r="E187" s="576" t="s">
        <v>1599</v>
      </c>
      <c r="F187" s="576" t="s">
        <v>1910</v>
      </c>
    </row>
    <row r="188" spans="1:6" s="575" customFormat="1" x14ac:dyDescent="0.25">
      <c r="A188" s="588" t="str">
        <f t="shared" si="10"/>
        <v>04-D-183</v>
      </c>
      <c r="B188" s="867" t="str">
        <f t="shared" ca="1" si="9"/>
        <v>Het genereren van de deelnamecode voor de eindstand in de groep is niet mogelijk in verband met het</v>
      </c>
      <c r="C188" s="575" t="s">
        <v>422</v>
      </c>
      <c r="D188" s="575" t="s">
        <v>1218</v>
      </c>
      <c r="E188" s="575" t="s">
        <v>1600</v>
      </c>
      <c r="F188" s="575" t="s">
        <v>1911</v>
      </c>
    </row>
    <row r="189" spans="1:6" s="576" customFormat="1" x14ac:dyDescent="0.25">
      <c r="A189" s="587" t="str">
        <f t="shared" si="10"/>
        <v>04-D-184</v>
      </c>
      <c r="B189" s="868" t="str">
        <f t="shared" ca="1" si="9"/>
        <v>ontbreken van gegevens. Controleer of alle velden zijn ingevuld op het werkblad "Eindstand Groep".</v>
      </c>
      <c r="C189" s="576" t="s">
        <v>553</v>
      </c>
      <c r="D189" s="576" t="s">
        <v>1219</v>
      </c>
      <c r="E189" s="576" t="s">
        <v>1601</v>
      </c>
      <c r="F189" s="576" t="s">
        <v>1912</v>
      </c>
    </row>
    <row r="190" spans="1:6" s="575" customFormat="1" x14ac:dyDescent="0.25">
      <c r="A190" s="588" t="str">
        <f t="shared" si="10"/>
        <v>04-D-185</v>
      </c>
      <c r="B190" s="867" t="str">
        <f t="shared" ca="1" si="9"/>
        <v>Bij het genereren van de deelnamecode voor de eindstand in de groep is er een fout geconstateerd.</v>
      </c>
      <c r="C190" s="575" t="s">
        <v>423</v>
      </c>
      <c r="D190" s="575" t="s">
        <v>1220</v>
      </c>
      <c r="E190" s="575" t="s">
        <v>1602</v>
      </c>
      <c r="F190" s="575" t="s">
        <v>1913</v>
      </c>
    </row>
    <row r="191" spans="1:6" s="576" customFormat="1" x14ac:dyDescent="0.25">
      <c r="A191" s="587" t="str">
        <f t="shared" si="10"/>
        <v>04-D-186</v>
      </c>
      <c r="B191" s="868" t="str">
        <f t="shared" ca="1" si="9"/>
        <v>Controleer uw invoer op het werkblad "Eindstand Groep".</v>
      </c>
      <c r="C191" s="576" t="s">
        <v>554</v>
      </c>
      <c r="D191" s="576" t="s">
        <v>1223</v>
      </c>
      <c r="E191" s="576" t="s">
        <v>1603</v>
      </c>
      <c r="F191" s="576" t="s">
        <v>1914</v>
      </c>
    </row>
    <row r="192" spans="1:6" s="575" customFormat="1" x14ac:dyDescent="0.25">
      <c r="A192" s="588" t="str">
        <f t="shared" si="10"/>
        <v>04-D-187</v>
      </c>
      <c r="B192" s="867" t="str">
        <f t="shared" ca="1" si="9"/>
        <v>Bij het genereren van de deelnamecode voor de eindstand in de groep zijn er fouten geconstateerd.</v>
      </c>
      <c r="C192" s="575" t="s">
        <v>424</v>
      </c>
      <c r="D192" s="575" t="s">
        <v>1221</v>
      </c>
      <c r="E192" s="575" t="s">
        <v>1604</v>
      </c>
      <c r="F192" s="575" t="s">
        <v>1915</v>
      </c>
    </row>
    <row r="193" spans="1:6" s="576" customFormat="1" x14ac:dyDescent="0.25">
      <c r="A193" s="587" t="str">
        <f t="shared" si="10"/>
        <v>04-D-188</v>
      </c>
      <c r="B193" s="868" t="str">
        <f t="shared" ca="1" si="9"/>
        <v>Controleer uw invoer op het werkblad "Eindstand Groep".</v>
      </c>
      <c r="C193" s="576" t="s">
        <v>554</v>
      </c>
      <c r="D193" s="576" t="s">
        <v>1222</v>
      </c>
      <c r="E193" s="576" t="s">
        <v>1605</v>
      </c>
      <c r="F193" s="576" t="s">
        <v>1916</v>
      </c>
    </row>
    <row r="194" spans="1:6" s="575" customFormat="1" x14ac:dyDescent="0.25">
      <c r="A194" s="588" t="str">
        <f t="shared" si="10"/>
        <v>04-D-189</v>
      </c>
      <c r="B194" s="867" t="str">
        <f t="shared" ref="B194:B233" ca="1" si="11">TRIM(INDIRECT(CHAR(64+$C$2)&amp;ROW()))</f>
        <v>De deelnamecode voor de eindstand in de groep is zonder foutmeldingen gegenereerd.</v>
      </c>
      <c r="C194" s="575" t="s">
        <v>425</v>
      </c>
      <c r="D194" s="575" t="s">
        <v>1207</v>
      </c>
      <c r="E194" s="575" t="s">
        <v>1606</v>
      </c>
      <c r="F194" s="575" t="s">
        <v>1917</v>
      </c>
    </row>
    <row r="195" spans="1:6" s="576" customFormat="1" x14ac:dyDescent="0.25">
      <c r="A195" s="577" t="str">
        <f t="shared" si="10"/>
        <v>04-D-190</v>
      </c>
      <c r="B195" s="868" t="str">
        <f t="shared" ca="1" si="11"/>
        <v/>
      </c>
    </row>
    <row r="196" spans="1:6" s="575" customFormat="1" x14ac:dyDescent="0.25">
      <c r="A196" s="588" t="str">
        <f t="shared" si="10"/>
        <v>04-D-191</v>
      </c>
      <c r="B196" s="867" t="str">
        <f t="shared" ca="1" si="11"/>
        <v>Voorspellingen Finalewedstrijden</v>
      </c>
      <c r="C196" s="575" t="s">
        <v>1210</v>
      </c>
      <c r="D196" s="575" t="s">
        <v>1209</v>
      </c>
      <c r="E196" s="575" t="s">
        <v>1607</v>
      </c>
      <c r="F196" s="575" t="s">
        <v>1918</v>
      </c>
    </row>
    <row r="197" spans="1:6" s="576" customFormat="1" x14ac:dyDescent="0.25">
      <c r="A197" s="587" t="str">
        <f t="shared" si="10"/>
        <v>04-D-192</v>
      </c>
      <c r="B197" s="868" t="str">
        <f t="shared" ca="1" si="11"/>
        <v>Het genereren van de deelnamecode voor de finalewedstrijden is niet mogelijk in verband met het ontbreken</v>
      </c>
      <c r="C197" s="576" t="s">
        <v>379</v>
      </c>
      <c r="D197" s="576" t="s">
        <v>1212</v>
      </c>
      <c r="E197" s="576" t="s">
        <v>1608</v>
      </c>
      <c r="F197" s="576" t="s">
        <v>1919</v>
      </c>
    </row>
    <row r="198" spans="1:6" s="575" customFormat="1" x14ac:dyDescent="0.25">
      <c r="A198" s="588" t="str">
        <f t="shared" si="10"/>
        <v>04-D-193</v>
      </c>
      <c r="B198" s="867" t="str">
        <f t="shared" ca="1" si="11"/>
        <v>van gegevens. Controleer of alle velden zijn ingevuld op het werkblad "Finalewedstrijden".</v>
      </c>
      <c r="C198" s="575" t="s">
        <v>555</v>
      </c>
      <c r="D198" s="575" t="s">
        <v>1213</v>
      </c>
      <c r="E198" s="575" t="s">
        <v>1609</v>
      </c>
      <c r="F198" s="575" t="s">
        <v>1920</v>
      </c>
    </row>
    <row r="199" spans="1:6" s="576" customFormat="1" x14ac:dyDescent="0.25">
      <c r="A199" s="587" t="str">
        <f t="shared" si="10"/>
        <v>04-D-194</v>
      </c>
      <c r="B199" s="868" t="str">
        <f t="shared" ca="1" si="11"/>
        <v>Bij het genereren van de deelnamecode voor de finalewedstrijden is er een fout geconstateerd. Controleer uw</v>
      </c>
      <c r="C199" s="576" t="s">
        <v>380</v>
      </c>
      <c r="D199" s="576" t="s">
        <v>1214</v>
      </c>
      <c r="E199" s="576" t="s">
        <v>1610</v>
      </c>
      <c r="F199" s="576" t="s">
        <v>1921</v>
      </c>
    </row>
    <row r="200" spans="1:6" s="575" customFormat="1" x14ac:dyDescent="0.25">
      <c r="A200" s="588" t="str">
        <f t="shared" si="10"/>
        <v>04-D-195</v>
      </c>
      <c r="B200" s="867" t="str">
        <f t="shared" ca="1" si="11"/>
        <v>invoer op het werkblad "Finalewedstrijden".</v>
      </c>
      <c r="C200" s="575" t="s">
        <v>556</v>
      </c>
      <c r="D200" s="575" t="s">
        <v>1215</v>
      </c>
      <c r="E200" s="575" t="s">
        <v>1611</v>
      </c>
      <c r="F200" s="575" t="s">
        <v>1922</v>
      </c>
    </row>
    <row r="201" spans="1:6" s="576" customFormat="1" x14ac:dyDescent="0.25">
      <c r="A201" s="587" t="str">
        <f t="shared" si="10"/>
        <v>04-D-196</v>
      </c>
      <c r="B201" s="868" t="str">
        <f t="shared" ca="1" si="11"/>
        <v>Bij het genereren van de deelnamecode voor de finalewedstrijden zijn er fouten geconstateerd. Controleer uw</v>
      </c>
      <c r="C201" s="576" t="s">
        <v>382</v>
      </c>
      <c r="D201" s="576" t="s">
        <v>1216</v>
      </c>
      <c r="E201" s="576" t="s">
        <v>1612</v>
      </c>
      <c r="F201" s="576" t="s">
        <v>1923</v>
      </c>
    </row>
    <row r="202" spans="1:6" s="575" customFormat="1" x14ac:dyDescent="0.25">
      <c r="A202" s="588" t="str">
        <f t="shared" si="10"/>
        <v>04-D-197</v>
      </c>
      <c r="B202" s="867" t="str">
        <f t="shared" ca="1" si="11"/>
        <v>invoer op het werkblad "Finalewedstrijden".</v>
      </c>
      <c r="C202" s="575" t="s">
        <v>556</v>
      </c>
      <c r="D202" s="575" t="s">
        <v>1217</v>
      </c>
      <c r="E202" s="575" t="s">
        <v>1613</v>
      </c>
      <c r="F202" s="575" t="s">
        <v>1922</v>
      </c>
    </row>
    <row r="203" spans="1:6" s="576" customFormat="1" x14ac:dyDescent="0.25">
      <c r="A203" s="587" t="str">
        <f t="shared" si="10"/>
        <v>04-D-198</v>
      </c>
      <c r="B203" s="868" t="str">
        <f t="shared" ca="1" si="11"/>
        <v>De deelnamecode voor de finalewedstrijden is zonder foutmeldingen gegenereerd.</v>
      </c>
      <c r="C203" s="576" t="s">
        <v>384</v>
      </c>
      <c r="D203" s="576" t="s">
        <v>1206</v>
      </c>
      <c r="E203" s="576" t="s">
        <v>1614</v>
      </c>
      <c r="F203" s="576" t="s">
        <v>1924</v>
      </c>
    </row>
    <row r="204" spans="1:6" s="575" customFormat="1" x14ac:dyDescent="0.25">
      <c r="A204" s="580" t="str">
        <f t="shared" si="10"/>
        <v>04-D-199</v>
      </c>
      <c r="B204" s="867" t="str">
        <f t="shared" ca="1" si="11"/>
        <v/>
      </c>
    </row>
    <row r="205" spans="1:6" s="576" customFormat="1" x14ac:dyDescent="0.25">
      <c r="A205" s="587" t="str">
        <f t="shared" si="10"/>
        <v>04-D-200</v>
      </c>
      <c r="B205" s="868" t="str">
        <f t="shared" ca="1" si="11"/>
        <v>Voorspelling Winnaar EURO 2024</v>
      </c>
      <c r="C205" s="576" t="s">
        <v>2444</v>
      </c>
      <c r="D205" s="576" t="s">
        <v>2445</v>
      </c>
      <c r="E205" s="576" t="s">
        <v>2446</v>
      </c>
      <c r="F205" s="576" t="s">
        <v>2447</v>
      </c>
    </row>
    <row r="206" spans="1:6" s="575" customFormat="1" x14ac:dyDescent="0.25">
      <c r="A206" s="588" t="str">
        <f t="shared" si="10"/>
        <v>04-D-201</v>
      </c>
      <c r="B206" s="867" t="str">
        <f t="shared" ca="1" si="11"/>
        <v>Het genereren van de deelnamecode voor de winnaar van het EK is niet mogelijk in verband met het ontbreken</v>
      </c>
      <c r="C206" s="575" t="s">
        <v>2448</v>
      </c>
      <c r="D206" s="575" t="s">
        <v>2449</v>
      </c>
      <c r="E206" s="575" t="s">
        <v>2450</v>
      </c>
      <c r="F206" s="575" t="s">
        <v>2451</v>
      </c>
    </row>
    <row r="207" spans="1:6" s="576" customFormat="1" x14ac:dyDescent="0.25">
      <c r="A207" s="587" t="str">
        <f t="shared" si="10"/>
        <v>04-D-202</v>
      </c>
      <c r="B207" s="868" t="str">
        <f t="shared" ca="1" si="11"/>
        <v>van gegevens. Voorspel de winnaar van het EK op het werkblad "Finalewedstrijden".</v>
      </c>
      <c r="C207" s="576" t="s">
        <v>2489</v>
      </c>
      <c r="D207" s="576" t="s">
        <v>2490</v>
      </c>
      <c r="E207" s="576" t="s">
        <v>2491</v>
      </c>
      <c r="F207" s="576" t="s">
        <v>2452</v>
      </c>
    </row>
    <row r="208" spans="1:6" s="575" customFormat="1" x14ac:dyDescent="0.25">
      <c r="A208" s="588" t="str">
        <f t="shared" si="10"/>
        <v>04-D-203</v>
      </c>
      <c r="B208" s="867" t="str">
        <f t="shared" ca="1" si="11"/>
        <v>Bij het genereren van de deelnamecode voor de winnaar van het EK is er een fout geconstateerd. Controleer</v>
      </c>
      <c r="C208" s="575" t="s">
        <v>2453</v>
      </c>
      <c r="D208" s="575" t="s">
        <v>2454</v>
      </c>
      <c r="E208" s="575" t="s">
        <v>2455</v>
      </c>
      <c r="F208" s="575" t="s">
        <v>2456</v>
      </c>
    </row>
    <row r="209" spans="1:6" s="576" customFormat="1" x14ac:dyDescent="0.25">
      <c r="A209" s="587" t="str">
        <f t="shared" si="10"/>
        <v>04-D-204</v>
      </c>
      <c r="B209" s="868" t="str">
        <f t="shared" ca="1" si="11"/>
        <v>uw invoer op het werkblad "Finalewedstrijden".</v>
      </c>
      <c r="C209" s="576" t="s">
        <v>557</v>
      </c>
      <c r="D209" s="576" t="s">
        <v>2258</v>
      </c>
      <c r="E209" s="576" t="s">
        <v>2457</v>
      </c>
      <c r="F209" s="576" t="s">
        <v>1925</v>
      </c>
    </row>
    <row r="210" spans="1:6" s="575" customFormat="1" x14ac:dyDescent="0.25">
      <c r="A210" s="588" t="str">
        <f t="shared" si="10"/>
        <v>04-D-205</v>
      </c>
      <c r="B210" s="867" t="str">
        <f t="shared" ca="1" si="11"/>
        <v>De deelnamecode voor de winnaar van het EK is zonder foutmeldingen gegenereerd.</v>
      </c>
      <c r="C210" s="575" t="s">
        <v>2458</v>
      </c>
      <c r="D210" s="575" t="s">
        <v>2459</v>
      </c>
      <c r="E210" s="575" t="s">
        <v>2460</v>
      </c>
      <c r="F210" s="575" t="s">
        <v>2461</v>
      </c>
    </row>
    <row r="211" spans="1:6" s="576" customFormat="1" x14ac:dyDescent="0.25">
      <c r="A211" s="577" t="str">
        <f t="shared" si="10"/>
        <v>04-D-206</v>
      </c>
      <c r="B211" s="868" t="str">
        <f t="shared" ca="1" si="11"/>
        <v/>
      </c>
    </row>
    <row r="212" spans="1:6" s="575" customFormat="1" x14ac:dyDescent="0.25">
      <c r="A212" s="588" t="str">
        <f t="shared" si="10"/>
        <v>04-D-207</v>
      </c>
      <c r="B212" s="867" t="str">
        <f t="shared" ca="1" si="11"/>
        <v>Bonusvragen</v>
      </c>
      <c r="C212" s="575" t="s">
        <v>100</v>
      </c>
      <c r="D212" s="575" t="s">
        <v>1224</v>
      </c>
      <c r="E212" s="575" t="s">
        <v>1313</v>
      </c>
      <c r="F212" s="575" t="s">
        <v>1794</v>
      </c>
    </row>
    <row r="213" spans="1:6" s="576" customFormat="1" x14ac:dyDescent="0.25">
      <c r="A213" s="587" t="str">
        <f t="shared" si="10"/>
        <v>04-D-208</v>
      </c>
      <c r="B213" s="868" t="str">
        <f t="shared" ca="1" si="11"/>
        <v>Het genereren van de deelnamecode voor de bonusvragen is niet mogelijk in verband met het ontbreken</v>
      </c>
      <c r="C213" s="576" t="s">
        <v>387</v>
      </c>
      <c r="D213" s="576" t="s">
        <v>1225</v>
      </c>
      <c r="E213" s="576" t="s">
        <v>1615</v>
      </c>
      <c r="F213" s="576" t="s">
        <v>1926</v>
      </c>
    </row>
    <row r="214" spans="1:6" s="575" customFormat="1" x14ac:dyDescent="0.25">
      <c r="A214" s="588" t="str">
        <f t="shared" si="10"/>
        <v>04-D-209</v>
      </c>
      <c r="B214" s="867" t="str">
        <f t="shared" ca="1" si="11"/>
        <v>van gegevens. Controleer of alle velden zijn ingevuld op het werkblad "Bonusvragen".</v>
      </c>
      <c r="C214" s="575" t="s">
        <v>558</v>
      </c>
      <c r="D214" s="575" t="s">
        <v>1226</v>
      </c>
      <c r="E214" s="575" t="s">
        <v>1616</v>
      </c>
      <c r="F214" s="575" t="s">
        <v>1927</v>
      </c>
    </row>
    <row r="215" spans="1:6" s="576" customFormat="1" x14ac:dyDescent="0.25">
      <c r="A215" s="587" t="str">
        <f t="shared" si="10"/>
        <v>04-D-210</v>
      </c>
      <c r="B215" s="868" t="str">
        <f t="shared" ca="1" si="11"/>
        <v>Bij het genereren van de deelnamecode voor de bonusvragen is er een fout geconstateerd. Controleer uw</v>
      </c>
      <c r="C215" s="576" t="s">
        <v>389</v>
      </c>
      <c r="D215" s="576" t="s">
        <v>1227</v>
      </c>
      <c r="E215" s="576" t="s">
        <v>1617</v>
      </c>
      <c r="F215" s="576" t="s">
        <v>1928</v>
      </c>
    </row>
    <row r="216" spans="1:6" s="575" customFormat="1" x14ac:dyDescent="0.25">
      <c r="A216" s="588" t="str">
        <f t="shared" si="10"/>
        <v>04-D-211</v>
      </c>
      <c r="B216" s="867" t="str">
        <f t="shared" ca="1" si="11"/>
        <v>invoer op het werkblad "Bonusvragen".</v>
      </c>
      <c r="C216" s="575" t="s">
        <v>559</v>
      </c>
      <c r="D216" s="575" t="s">
        <v>1228</v>
      </c>
      <c r="E216" s="575" t="s">
        <v>1618</v>
      </c>
      <c r="F216" s="575" t="s">
        <v>1929</v>
      </c>
    </row>
    <row r="217" spans="1:6" s="576" customFormat="1" x14ac:dyDescent="0.25">
      <c r="A217" s="587" t="str">
        <f t="shared" si="10"/>
        <v>04-D-212</v>
      </c>
      <c r="B217" s="868" t="str">
        <f t="shared" ca="1" si="11"/>
        <v>Bij het genereren van de deelnamecode voor de bonusvragen zijn er fouten geconstateerd. Controleer uw</v>
      </c>
      <c r="C217" s="576" t="s">
        <v>390</v>
      </c>
      <c r="D217" s="576" t="s">
        <v>1229</v>
      </c>
      <c r="E217" s="576" t="s">
        <v>1619</v>
      </c>
      <c r="F217" s="576" t="s">
        <v>1930</v>
      </c>
    </row>
    <row r="218" spans="1:6" s="575" customFormat="1" x14ac:dyDescent="0.25">
      <c r="A218" s="588" t="str">
        <f t="shared" si="10"/>
        <v>04-D-213</v>
      </c>
      <c r="B218" s="867" t="str">
        <f t="shared" ca="1" si="11"/>
        <v>invoer op het werkblad "Bonusvragen".</v>
      </c>
      <c r="C218" s="575" t="s">
        <v>559</v>
      </c>
      <c r="D218" s="575" t="s">
        <v>1230</v>
      </c>
      <c r="E218" s="575" t="s">
        <v>1620</v>
      </c>
      <c r="F218" s="575" t="s">
        <v>1929</v>
      </c>
    </row>
    <row r="219" spans="1:6" s="576" customFormat="1" x14ac:dyDescent="0.25">
      <c r="A219" s="587" t="str">
        <f t="shared" si="10"/>
        <v>04-D-214</v>
      </c>
      <c r="B219" s="868" t="str">
        <f t="shared" ca="1" si="11"/>
        <v>De deelnamecode voor de bonusvragen is zonder foutmeldingen gegenereerd.</v>
      </c>
      <c r="C219" s="576" t="s">
        <v>392</v>
      </c>
      <c r="D219" s="576" t="s">
        <v>1208</v>
      </c>
      <c r="E219" s="576" t="s">
        <v>1621</v>
      </c>
      <c r="F219" s="576" t="s">
        <v>1931</v>
      </c>
    </row>
    <row r="220" spans="1:6" s="582" customFormat="1" x14ac:dyDescent="0.25">
      <c r="A220" s="588" t="str">
        <f t="shared" si="10"/>
        <v>04-D-215</v>
      </c>
      <c r="B220" s="870" t="str">
        <f t="shared" ref="B220:B227" ca="1" si="12">TRIM(INDIRECT(CHAR(64+$C$2)&amp;ROW()))</f>
        <v/>
      </c>
    </row>
    <row r="221" spans="1:6" s="576" customFormat="1" x14ac:dyDescent="0.25">
      <c r="A221" s="587" t="str">
        <f t="shared" ref="A221:A228" si="13">LEFT(A220,5)&amp;RIGHT("000"&amp;RIGHT(A220,3)*1+1,3)</f>
        <v>04-D-216</v>
      </c>
      <c r="B221" s="868" t="str">
        <f t="shared" ca="1" si="12"/>
        <v>Teams</v>
      </c>
      <c r="C221" s="576" t="s">
        <v>1329</v>
      </c>
      <c r="D221" s="576" t="s">
        <v>1329</v>
      </c>
      <c r="E221" s="576" t="s">
        <v>1329</v>
      </c>
      <c r="F221" s="576" t="s">
        <v>2051</v>
      </c>
    </row>
    <row r="222" spans="1:6" s="575" customFormat="1" x14ac:dyDescent="0.25">
      <c r="A222" s="588" t="str">
        <f t="shared" si="13"/>
        <v>04-D-217</v>
      </c>
      <c r="B222" s="867" t="str">
        <f t="shared" ca="1" si="12"/>
        <v>Er zijn onvoldoende teams geselecteerd om een deelnamecode te genereren.</v>
      </c>
      <c r="C222" s="575" t="s">
        <v>2206</v>
      </c>
      <c r="D222" s="575" t="s">
        <v>2227</v>
      </c>
      <c r="E222" s="575" t="s">
        <v>2230</v>
      </c>
      <c r="F222" s="575" t="s">
        <v>2236</v>
      </c>
    </row>
    <row r="223" spans="1:6" s="576" customFormat="1" x14ac:dyDescent="0.25">
      <c r="A223" s="587" t="str">
        <f t="shared" si="13"/>
        <v>04-D-218</v>
      </c>
      <c r="B223" s="868" t="str">
        <f t="shared" ca="1" si="12"/>
        <v>Er zijn teveel teams geselecteerd om een deelnamecode te genereren.</v>
      </c>
      <c r="C223" s="576" t="s">
        <v>2204</v>
      </c>
      <c r="D223" s="576" t="s">
        <v>2228</v>
      </c>
      <c r="E223" s="576" t="s">
        <v>2231</v>
      </c>
      <c r="F223" s="576" t="s">
        <v>2237</v>
      </c>
    </row>
    <row r="224" spans="1:6" s="575" customFormat="1" x14ac:dyDescent="0.25">
      <c r="A224" s="588" t="str">
        <f t="shared" si="13"/>
        <v>04-D-219</v>
      </c>
      <c r="B224" s="867" t="str">
        <f t="shared" ca="1" si="12"/>
        <v>Controleer het aantal geselecteerde teams op het werkblad "Teams".</v>
      </c>
      <c r="C224" s="575" t="s">
        <v>2205</v>
      </c>
      <c r="D224" s="575" t="s">
        <v>2223</v>
      </c>
      <c r="E224" s="575" t="s">
        <v>2232</v>
      </c>
      <c r="F224" s="575" t="s">
        <v>2238</v>
      </c>
    </row>
    <row r="225" spans="1:6" s="576" customFormat="1" x14ac:dyDescent="0.25">
      <c r="A225" s="587" t="str">
        <f t="shared" si="13"/>
        <v>04-D-220</v>
      </c>
      <c r="B225" s="868" t="str">
        <f t="shared" ca="1" si="12"/>
        <v>Bij het genereren van de deelnamecode voor de teams is er een fout geconstateerd.</v>
      </c>
      <c r="C225" s="576" t="s">
        <v>2221</v>
      </c>
      <c r="D225" s="576" t="s">
        <v>2224</v>
      </c>
      <c r="E225" s="576" t="s">
        <v>2233</v>
      </c>
      <c r="F225" s="576" t="s">
        <v>2239</v>
      </c>
    </row>
    <row r="226" spans="1:6" s="575" customFormat="1" x14ac:dyDescent="0.25">
      <c r="A226" s="588" t="str">
        <f t="shared" si="13"/>
        <v>04-D-221</v>
      </c>
      <c r="B226" s="867" t="str">
        <f t="shared" ca="1" si="12"/>
        <v>Controleer uw selectie van de teams op het werkblad "Teams".</v>
      </c>
      <c r="C226" s="575" t="s">
        <v>2222</v>
      </c>
      <c r="D226" s="575" t="s">
        <v>2225</v>
      </c>
      <c r="E226" s="575" t="s">
        <v>2234</v>
      </c>
      <c r="F226" s="575" t="s">
        <v>2240</v>
      </c>
    </row>
    <row r="227" spans="1:6" s="576" customFormat="1" x14ac:dyDescent="0.25">
      <c r="A227" s="587" t="str">
        <f t="shared" si="13"/>
        <v>04-D-222</v>
      </c>
      <c r="B227" s="868" t="str">
        <f t="shared" ca="1" si="12"/>
        <v>Er zijn voldoende teams geselecteerd om een deelnamecode te genereren.</v>
      </c>
      <c r="C227" s="576" t="s">
        <v>2207</v>
      </c>
      <c r="D227" s="576" t="s">
        <v>2226</v>
      </c>
      <c r="E227" s="576" t="s">
        <v>2229</v>
      </c>
      <c r="F227" s="576" t="s">
        <v>2241</v>
      </c>
    </row>
    <row r="228" spans="1:6" s="575" customFormat="1" x14ac:dyDescent="0.25">
      <c r="A228" s="588" t="str">
        <f t="shared" si="13"/>
        <v>04-D-223</v>
      </c>
      <c r="B228" s="867" t="str">
        <f t="shared" ca="1" si="11"/>
        <v/>
      </c>
    </row>
    <row r="229" spans="1:6" s="576" customFormat="1" x14ac:dyDescent="0.25">
      <c r="A229" s="587" t="str">
        <f t="shared" si="10"/>
        <v>04-D-224</v>
      </c>
      <c r="B229" s="868" t="str">
        <f t="shared" ca="1" si="11"/>
        <v>In het onderstaande veld zal uw deelnamecode gegenereerd worden als alle velden volledig en goed zijn ingevuld.</v>
      </c>
      <c r="C229" s="576" t="s">
        <v>1182</v>
      </c>
      <c r="D229" s="576" t="s">
        <v>1181</v>
      </c>
      <c r="E229" s="576" t="s">
        <v>1622</v>
      </c>
      <c r="F229" s="576" t="s">
        <v>1932</v>
      </c>
    </row>
    <row r="230" spans="1:6" s="575" customFormat="1" x14ac:dyDescent="0.25">
      <c r="A230" s="588" t="str">
        <f t="shared" si="10"/>
        <v>04-D-225</v>
      </c>
      <c r="B230" s="867" t="str">
        <f t="shared" ca="1" si="11"/>
        <v>De deelnamecode kan niet worden gegenereerd door het ontbreken van gegevens of foutieve waarden. Het gaat om het volgende onderdeel</v>
      </c>
      <c r="C230" s="575" t="s">
        <v>1237</v>
      </c>
      <c r="D230" s="575" t="s">
        <v>1238</v>
      </c>
      <c r="E230" s="575" t="s">
        <v>1623</v>
      </c>
      <c r="F230" s="575" t="s">
        <v>1933</v>
      </c>
    </row>
    <row r="231" spans="1:6" s="576" customFormat="1" x14ac:dyDescent="0.25">
      <c r="A231" s="587" t="str">
        <f t="shared" si="10"/>
        <v>04-D-226</v>
      </c>
      <c r="B231" s="868" t="str">
        <f t="shared" ca="1" si="11"/>
        <v>De deelnamecode kan niet worden gegenereerd door het ontbreken van gegevens of foutieve waarden. Het gaat om de volgende onderdelen</v>
      </c>
      <c r="C231" s="576" t="s">
        <v>1234</v>
      </c>
      <c r="D231" s="576" t="s">
        <v>1239</v>
      </c>
      <c r="E231" s="576" t="s">
        <v>1624</v>
      </c>
      <c r="F231" s="576" t="s">
        <v>1934</v>
      </c>
    </row>
    <row r="232" spans="1:6" s="575" customFormat="1" x14ac:dyDescent="0.25">
      <c r="A232" s="588" t="str">
        <f t="shared" si="10"/>
        <v>04-D-227</v>
      </c>
      <c r="B232" s="867" t="str">
        <f t="shared" ca="1" si="11"/>
        <v>De deelnamecode kan niet worden gegenereerd door het ontbreken van het reglement. Vraag uw organisator om het reglement toe te voegen aan uw deelname formulier.</v>
      </c>
      <c r="C232" s="575" t="s">
        <v>1255</v>
      </c>
      <c r="D232" s="575" t="s">
        <v>1235</v>
      </c>
      <c r="E232" s="575" t="s">
        <v>1625</v>
      </c>
      <c r="F232" s="575" t="s">
        <v>1935</v>
      </c>
    </row>
    <row r="233" spans="1:6" s="576" customFormat="1" x14ac:dyDescent="0.25">
      <c r="A233" s="587" t="str">
        <f t="shared" si="10"/>
        <v>04-D-228</v>
      </c>
      <c r="B233" s="868" t="str">
        <f t="shared" ca="1" si="11"/>
        <v>Dit deelname formulier betreft een demo-versie voor het EK 2024 in Duitsland. Het generenen van een deelnamecode is hierin uitgeschakeld ongeacht of alle onderdelen juist zijn ingevuld.</v>
      </c>
      <c r="C233" s="576" t="s">
        <v>2553</v>
      </c>
      <c r="D233" s="576" t="s">
        <v>2554</v>
      </c>
      <c r="E233" s="576" t="s">
        <v>2555</v>
      </c>
      <c r="F233" s="576" t="s">
        <v>2556</v>
      </c>
    </row>
    <row r="234" spans="1:6" s="582" customFormat="1" x14ac:dyDescent="0.25">
      <c r="A234" s="580" t="str">
        <f>LEFT(A233,5)&amp;RIGHT("000"&amp;RIGHT(A233,3)*1+1,3)</f>
        <v>04-D-229</v>
      </c>
      <c r="B234" s="870"/>
    </row>
    <row r="235" spans="1:6" s="579" customFormat="1" x14ac:dyDescent="0.25">
      <c r="A235" s="587" t="str">
        <f t="shared" ref="A235:A280" si="14">LEFT(A234,5)&amp;RIGHT("000"&amp;RIGHT(A234,3)*1+1,3)</f>
        <v>04-D-230</v>
      </c>
      <c r="B235" s="865" t="str">
        <f t="shared" ref="B235:B271" ca="1" si="15">TRIM(INDIRECT(CHAR(64+$C$2)&amp;ROW()))</f>
        <v>De Teams</v>
      </c>
      <c r="C235" s="601" t="s">
        <v>2052</v>
      </c>
      <c r="D235" s="601" t="s">
        <v>2053</v>
      </c>
      <c r="E235" s="601" t="s">
        <v>2054</v>
      </c>
      <c r="F235" s="601" t="s">
        <v>2051</v>
      </c>
    </row>
    <row r="236" spans="1:6" s="575" customFormat="1" x14ac:dyDescent="0.25">
      <c r="A236" s="588" t="str">
        <f t="shared" si="14"/>
        <v>04-D-231</v>
      </c>
      <c r="B236" s="86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75" t="s">
        <v>2055</v>
      </c>
      <c r="D236" s="575" t="s">
        <v>2112</v>
      </c>
      <c r="E236" s="575" t="s">
        <v>2113</v>
      </c>
      <c r="F236" s="575" t="s">
        <v>2114</v>
      </c>
    </row>
    <row r="237" spans="1:6" s="576" customFormat="1" x14ac:dyDescent="0.25">
      <c r="A237" s="587" t="str">
        <f t="shared" si="14"/>
        <v>04-D-232</v>
      </c>
      <c r="B237" s="868" t="str">
        <f t="shared" ca="1" si="15"/>
        <v>Selecteer uit onderstaande lijst één of meerdere teams waar u als deelnemer toe behoort op basis van de omschrijving.</v>
      </c>
      <c r="C237" s="576" t="s">
        <v>2056</v>
      </c>
      <c r="D237" s="576" t="s">
        <v>2115</v>
      </c>
      <c r="E237" s="576" t="s">
        <v>2120</v>
      </c>
      <c r="F237" s="576" t="s">
        <v>2125</v>
      </c>
    </row>
    <row r="238" spans="1:6" s="575" customFormat="1" x14ac:dyDescent="0.25">
      <c r="A238" s="588" t="str">
        <f t="shared" si="14"/>
        <v>04-D-233</v>
      </c>
      <c r="B238" s="867" t="str">
        <f t="shared" ca="1" si="15"/>
        <v>Selecteer uit onderstaander lijst minimaal $$$ @@@ waar u als deelnemer toe behoort op basis van de omschrijving.</v>
      </c>
      <c r="C238" s="575" t="s">
        <v>2062</v>
      </c>
      <c r="D238" s="575" t="s">
        <v>2116</v>
      </c>
      <c r="E238" s="575" t="s">
        <v>2121</v>
      </c>
      <c r="F238" s="575" t="s">
        <v>2126</v>
      </c>
    </row>
    <row r="239" spans="1:6" s="576" customFormat="1" x14ac:dyDescent="0.25">
      <c r="A239" s="587" t="str">
        <f t="shared" si="14"/>
        <v>04-D-234</v>
      </c>
      <c r="B239" s="868" t="str">
        <f t="shared" ca="1" si="15"/>
        <v>Selecteer uit onderstaander lijst maximaal ### @@@ waar u als deelnemer toe behoort op basis van de omschrijving.</v>
      </c>
      <c r="C239" s="576" t="s">
        <v>2063</v>
      </c>
      <c r="D239" s="576" t="s">
        <v>2117</v>
      </c>
      <c r="E239" s="576" t="s">
        <v>2122</v>
      </c>
      <c r="F239" s="576" t="s">
        <v>2127</v>
      </c>
    </row>
    <row r="240" spans="1:6" s="575" customFormat="1" x14ac:dyDescent="0.25">
      <c r="A240" s="588" t="str">
        <f t="shared" si="14"/>
        <v>04-D-235</v>
      </c>
      <c r="B240" s="867" t="str">
        <f t="shared" ca="1" si="15"/>
        <v>Selecteer uit onderstaande lijst minimaal $$$, maximaal ### @@@ waar u als deelnemer toe behoort op basis van de omschrijving.</v>
      </c>
      <c r="C240" s="575" t="s">
        <v>2064</v>
      </c>
      <c r="D240" s="575" t="s">
        <v>2118</v>
      </c>
      <c r="E240" s="575" t="s">
        <v>2123</v>
      </c>
      <c r="F240" s="575" t="s">
        <v>2128</v>
      </c>
    </row>
    <row r="241" spans="1:6" s="576" customFormat="1" x14ac:dyDescent="0.25">
      <c r="A241" s="587" t="str">
        <f t="shared" si="14"/>
        <v>04-D-236</v>
      </c>
      <c r="B241" s="868" t="str">
        <f t="shared" ca="1" si="15"/>
        <v>Selecteer uit onderstaande lijst $$$ @@@ waar u als deelnemer toe behoort op basis van de omschrijving.</v>
      </c>
      <c r="C241" s="576" t="s">
        <v>2065</v>
      </c>
      <c r="D241" s="576" t="s">
        <v>2119</v>
      </c>
      <c r="E241" s="576" t="s">
        <v>2124</v>
      </c>
      <c r="F241" s="576" t="s">
        <v>2129</v>
      </c>
    </row>
    <row r="242" spans="1:6" s="575" customFormat="1" x14ac:dyDescent="0.25">
      <c r="A242" s="588" t="str">
        <f t="shared" si="14"/>
        <v>04-D-237</v>
      </c>
      <c r="B242" s="867" t="str">
        <f t="shared" ca="1" si="15"/>
        <v>één</v>
      </c>
      <c r="C242" s="575" t="s">
        <v>2069</v>
      </c>
      <c r="D242" s="575" t="s">
        <v>2147</v>
      </c>
      <c r="E242" s="575" t="s">
        <v>2166</v>
      </c>
      <c r="F242" s="575" t="s">
        <v>2184</v>
      </c>
    </row>
    <row r="243" spans="1:6" s="576" customFormat="1" x14ac:dyDescent="0.25">
      <c r="A243" s="587" t="str">
        <f t="shared" si="14"/>
        <v>04-D-238</v>
      </c>
      <c r="B243" s="868" t="str">
        <f t="shared" ca="1" si="15"/>
        <v>twee</v>
      </c>
      <c r="C243" s="576" t="s">
        <v>2070</v>
      </c>
      <c r="D243" s="576" t="s">
        <v>2148</v>
      </c>
      <c r="E243" s="576" t="s">
        <v>2167</v>
      </c>
      <c r="F243" s="576" t="s">
        <v>2185</v>
      </c>
    </row>
    <row r="244" spans="1:6" s="575" customFormat="1" x14ac:dyDescent="0.25">
      <c r="A244" s="588" t="str">
        <f t="shared" si="14"/>
        <v>04-D-239</v>
      </c>
      <c r="B244" s="867" t="str">
        <f t="shared" ca="1" si="15"/>
        <v>drie</v>
      </c>
      <c r="C244" s="575" t="s">
        <v>2071</v>
      </c>
      <c r="D244" s="575" t="s">
        <v>2149</v>
      </c>
      <c r="E244" s="575" t="s">
        <v>2168</v>
      </c>
      <c r="F244" s="575" t="s">
        <v>2186</v>
      </c>
    </row>
    <row r="245" spans="1:6" s="576" customFormat="1" x14ac:dyDescent="0.25">
      <c r="A245" s="587" t="str">
        <f t="shared" si="14"/>
        <v>04-D-240</v>
      </c>
      <c r="B245" s="868" t="str">
        <f t="shared" ca="1" si="15"/>
        <v>vier</v>
      </c>
      <c r="C245" s="576" t="s">
        <v>2072</v>
      </c>
      <c r="D245" s="576" t="s">
        <v>2150</v>
      </c>
      <c r="E245" s="576" t="s">
        <v>2072</v>
      </c>
      <c r="F245" s="576" t="s">
        <v>2187</v>
      </c>
    </row>
    <row r="246" spans="1:6" s="575" customFormat="1" x14ac:dyDescent="0.25">
      <c r="A246" s="588" t="str">
        <f t="shared" si="14"/>
        <v>04-D-241</v>
      </c>
      <c r="B246" s="867" t="str">
        <f t="shared" ca="1" si="15"/>
        <v>vijf</v>
      </c>
      <c r="C246" s="575" t="s">
        <v>2073</v>
      </c>
      <c r="D246" s="575" t="s">
        <v>2151</v>
      </c>
      <c r="E246" s="575" t="s">
        <v>2169</v>
      </c>
      <c r="F246" s="575" t="s">
        <v>2188</v>
      </c>
    </row>
    <row r="247" spans="1:6" s="576" customFormat="1" x14ac:dyDescent="0.25">
      <c r="A247" s="587" t="str">
        <f t="shared" si="14"/>
        <v>04-D-242</v>
      </c>
      <c r="B247" s="868" t="str">
        <f t="shared" ca="1" si="15"/>
        <v>zes</v>
      </c>
      <c r="C247" s="576" t="s">
        <v>2074</v>
      </c>
      <c r="D247" s="576" t="s">
        <v>2152</v>
      </c>
      <c r="E247" s="576" t="s">
        <v>2170</v>
      </c>
      <c r="F247" s="576" t="s">
        <v>2189</v>
      </c>
    </row>
    <row r="248" spans="1:6" s="575" customFormat="1" x14ac:dyDescent="0.25">
      <c r="A248" s="588" t="str">
        <f t="shared" si="14"/>
        <v>04-D-243</v>
      </c>
      <c r="B248" s="867" t="str">
        <f t="shared" ca="1" si="15"/>
        <v>zeven</v>
      </c>
      <c r="C248" s="575" t="s">
        <v>2075</v>
      </c>
      <c r="D248" s="575" t="s">
        <v>2153</v>
      </c>
      <c r="E248" s="575" t="s">
        <v>2171</v>
      </c>
      <c r="F248" s="575" t="s">
        <v>2190</v>
      </c>
    </row>
    <row r="249" spans="1:6" s="576" customFormat="1" x14ac:dyDescent="0.25">
      <c r="A249" s="587" t="str">
        <f t="shared" si="14"/>
        <v>04-D-244</v>
      </c>
      <c r="B249" s="868" t="str">
        <f t="shared" ca="1" si="15"/>
        <v>acht</v>
      </c>
      <c r="C249" s="576" t="s">
        <v>2076</v>
      </c>
      <c r="D249" s="576" t="s">
        <v>2154</v>
      </c>
      <c r="E249" s="576" t="s">
        <v>2076</v>
      </c>
      <c r="F249" s="576" t="s">
        <v>2191</v>
      </c>
    </row>
    <row r="250" spans="1:6" s="575" customFormat="1" x14ac:dyDescent="0.25">
      <c r="A250" s="588" t="str">
        <f t="shared" si="14"/>
        <v>04-D-245</v>
      </c>
      <c r="B250" s="867" t="str">
        <f t="shared" ca="1" si="15"/>
        <v>negen</v>
      </c>
      <c r="C250" s="575" t="s">
        <v>2077</v>
      </c>
      <c r="D250" s="575" t="s">
        <v>2155</v>
      </c>
      <c r="E250" s="575" t="s">
        <v>2172</v>
      </c>
      <c r="F250" s="575" t="s">
        <v>2192</v>
      </c>
    </row>
    <row r="251" spans="1:6" s="576" customFormat="1" x14ac:dyDescent="0.25">
      <c r="A251" s="587" t="str">
        <f t="shared" si="14"/>
        <v>04-D-246</v>
      </c>
      <c r="B251" s="868" t="str">
        <f t="shared" ca="1" si="15"/>
        <v>tien</v>
      </c>
      <c r="C251" s="576" t="s">
        <v>2078</v>
      </c>
      <c r="D251" s="576" t="s">
        <v>2156</v>
      </c>
      <c r="E251" s="576" t="s">
        <v>2173</v>
      </c>
      <c r="F251" s="576" t="s">
        <v>2193</v>
      </c>
    </row>
    <row r="252" spans="1:6" s="575" customFormat="1" x14ac:dyDescent="0.25">
      <c r="A252" s="588" t="str">
        <f t="shared" si="14"/>
        <v>04-D-247</v>
      </c>
      <c r="B252" s="867" t="str">
        <f t="shared" ca="1" si="15"/>
        <v>elf</v>
      </c>
      <c r="C252" s="575" t="s">
        <v>2079</v>
      </c>
      <c r="D252" s="575" t="s">
        <v>2079</v>
      </c>
      <c r="E252" s="575" t="s">
        <v>2174</v>
      </c>
      <c r="F252" s="575" t="s">
        <v>2194</v>
      </c>
    </row>
    <row r="253" spans="1:6" s="576" customFormat="1" x14ac:dyDescent="0.25">
      <c r="A253" s="587" t="str">
        <f t="shared" si="14"/>
        <v>04-D-248</v>
      </c>
      <c r="B253" s="868" t="str">
        <f t="shared" ca="1" si="15"/>
        <v>twaalf</v>
      </c>
      <c r="C253" s="576" t="s">
        <v>2080</v>
      </c>
      <c r="D253" s="576" t="s">
        <v>2157</v>
      </c>
      <c r="E253" s="576" t="s">
        <v>2175</v>
      </c>
      <c r="F253" s="576" t="s">
        <v>2195</v>
      </c>
    </row>
    <row r="254" spans="1:6" s="575" customFormat="1" x14ac:dyDescent="0.25">
      <c r="A254" s="588" t="str">
        <f t="shared" si="14"/>
        <v>04-D-249</v>
      </c>
      <c r="B254" s="867" t="str">
        <f t="shared" ca="1" si="15"/>
        <v>dertien</v>
      </c>
      <c r="C254" s="575" t="s">
        <v>2081</v>
      </c>
      <c r="D254" s="575" t="s">
        <v>2158</v>
      </c>
      <c r="E254" s="575" t="s">
        <v>2176</v>
      </c>
      <c r="F254" s="575" t="s">
        <v>2196</v>
      </c>
    </row>
    <row r="255" spans="1:6" s="576" customFormat="1" x14ac:dyDescent="0.25">
      <c r="A255" s="587" t="str">
        <f t="shared" si="14"/>
        <v>04-D-250</v>
      </c>
      <c r="B255" s="868" t="str">
        <f t="shared" ca="1" si="15"/>
        <v>veertien</v>
      </c>
      <c r="C255" s="576" t="s">
        <v>2082</v>
      </c>
      <c r="D255" s="576" t="s">
        <v>2159</v>
      </c>
      <c r="E255" s="576" t="s">
        <v>2177</v>
      </c>
      <c r="F255" s="576" t="s">
        <v>2197</v>
      </c>
    </row>
    <row r="256" spans="1:6" s="575" customFormat="1" x14ac:dyDescent="0.25">
      <c r="A256" s="588" t="str">
        <f t="shared" si="14"/>
        <v>04-D-251</v>
      </c>
      <c r="B256" s="867" t="str">
        <f t="shared" ca="1" si="15"/>
        <v>vijftien</v>
      </c>
      <c r="C256" s="575" t="s">
        <v>2083</v>
      </c>
      <c r="D256" s="575" t="s">
        <v>2160</v>
      </c>
      <c r="E256" s="575" t="s">
        <v>2178</v>
      </c>
      <c r="F256" s="575" t="s">
        <v>2198</v>
      </c>
    </row>
    <row r="257" spans="1:6" s="576" customFormat="1" x14ac:dyDescent="0.25">
      <c r="A257" s="587" t="str">
        <f t="shared" si="14"/>
        <v>04-D-252</v>
      </c>
      <c r="B257" s="868" t="str">
        <f t="shared" ca="1" si="15"/>
        <v>zestien</v>
      </c>
      <c r="C257" s="576" t="s">
        <v>2084</v>
      </c>
      <c r="D257" s="576" t="s">
        <v>2161</v>
      </c>
      <c r="E257" s="576" t="s">
        <v>2179</v>
      </c>
      <c r="F257" s="576" t="s">
        <v>2199</v>
      </c>
    </row>
    <row r="258" spans="1:6" s="575" customFormat="1" x14ac:dyDescent="0.25">
      <c r="A258" s="588" t="str">
        <f t="shared" si="14"/>
        <v>04-D-253</v>
      </c>
      <c r="B258" s="867" t="str">
        <f t="shared" ca="1" si="15"/>
        <v>zeventien</v>
      </c>
      <c r="C258" s="575" t="s">
        <v>2085</v>
      </c>
      <c r="D258" s="575" t="s">
        <v>2162</v>
      </c>
      <c r="E258" s="575" t="s">
        <v>2180</v>
      </c>
      <c r="F258" s="575" t="s">
        <v>2200</v>
      </c>
    </row>
    <row r="259" spans="1:6" s="576" customFormat="1" x14ac:dyDescent="0.25">
      <c r="A259" s="587" t="str">
        <f t="shared" si="14"/>
        <v>04-D-254</v>
      </c>
      <c r="B259" s="868" t="str">
        <f t="shared" ca="1" si="15"/>
        <v>achting</v>
      </c>
      <c r="C259" s="576" t="s">
        <v>2086</v>
      </c>
      <c r="D259" s="576" t="s">
        <v>2163</v>
      </c>
      <c r="E259" s="576" t="s">
        <v>2181</v>
      </c>
      <c r="F259" s="576" t="s">
        <v>2201</v>
      </c>
    </row>
    <row r="260" spans="1:6" s="575" customFormat="1" x14ac:dyDescent="0.25">
      <c r="A260" s="588" t="str">
        <f t="shared" si="14"/>
        <v>04-D-255</v>
      </c>
      <c r="B260" s="867" t="str">
        <f t="shared" ca="1" si="15"/>
        <v>negentien</v>
      </c>
      <c r="C260" s="575" t="s">
        <v>2087</v>
      </c>
      <c r="D260" s="575" t="s">
        <v>2164</v>
      </c>
      <c r="E260" s="575" t="s">
        <v>2182</v>
      </c>
      <c r="F260" s="575" t="s">
        <v>2202</v>
      </c>
    </row>
    <row r="261" spans="1:6" s="576" customFormat="1" x14ac:dyDescent="0.25">
      <c r="A261" s="587" t="str">
        <f t="shared" si="14"/>
        <v>04-D-256</v>
      </c>
      <c r="B261" s="868" t="str">
        <f t="shared" ca="1" si="15"/>
        <v>twintig</v>
      </c>
      <c r="C261" s="576" t="s">
        <v>2088</v>
      </c>
      <c r="D261" s="576" t="s">
        <v>2165</v>
      </c>
      <c r="E261" s="576" t="s">
        <v>2183</v>
      </c>
      <c r="F261" s="576" t="s">
        <v>2203</v>
      </c>
    </row>
    <row r="262" spans="1:6" s="575" customFormat="1" x14ac:dyDescent="0.25">
      <c r="A262" s="588" t="str">
        <f t="shared" si="14"/>
        <v>04-D-257</v>
      </c>
      <c r="B262" s="867" t="str">
        <f t="shared" ca="1" si="15"/>
        <v>team</v>
      </c>
      <c r="C262" s="575" t="s">
        <v>2089</v>
      </c>
      <c r="D262" s="575" t="s">
        <v>2089</v>
      </c>
      <c r="E262" s="575" t="s">
        <v>19</v>
      </c>
      <c r="F262" s="575" t="s">
        <v>2141</v>
      </c>
    </row>
    <row r="263" spans="1:6" s="576" customFormat="1" x14ac:dyDescent="0.25">
      <c r="A263" s="587" t="str">
        <f t="shared" si="14"/>
        <v>04-D-258</v>
      </c>
      <c r="B263" s="868" t="str">
        <f t="shared" ca="1" si="15"/>
        <v>teams</v>
      </c>
      <c r="C263" s="576" t="s">
        <v>2090</v>
      </c>
      <c r="D263" s="576" t="s">
        <v>2090</v>
      </c>
      <c r="E263" s="576" t="s">
        <v>1329</v>
      </c>
      <c r="F263" s="576" t="s">
        <v>2141</v>
      </c>
    </row>
    <row r="264" spans="1:6" s="575" customFormat="1" x14ac:dyDescent="0.25">
      <c r="A264" s="588" t="str">
        <f t="shared" si="14"/>
        <v>04-D-259</v>
      </c>
      <c r="B264" s="867" t="str">
        <f t="shared" ca="1" si="15"/>
        <v>team selecteren</v>
      </c>
      <c r="C264" s="575" t="s">
        <v>2107</v>
      </c>
      <c r="D264" s="575" t="s">
        <v>2130</v>
      </c>
      <c r="E264" s="575" t="s">
        <v>2136</v>
      </c>
      <c r="F264" s="575" t="s">
        <v>2142</v>
      </c>
    </row>
    <row r="265" spans="1:6" s="576" customFormat="1" x14ac:dyDescent="0.25">
      <c r="A265" s="587" t="str">
        <f t="shared" si="14"/>
        <v>04-D-260</v>
      </c>
      <c r="B265" s="868" t="str">
        <f t="shared" ca="1" si="15"/>
        <v>ja</v>
      </c>
      <c r="C265" s="576" t="s">
        <v>2099</v>
      </c>
      <c r="D265" s="576" t="s">
        <v>2135</v>
      </c>
      <c r="E265" s="576" t="s">
        <v>2099</v>
      </c>
      <c r="F265" s="576" t="s">
        <v>2099</v>
      </c>
    </row>
    <row r="266" spans="1:6" s="575" customFormat="1" x14ac:dyDescent="0.25">
      <c r="A266" s="588" t="str">
        <f t="shared" si="14"/>
        <v>04-D-261</v>
      </c>
      <c r="B266" s="867" t="str">
        <f t="shared" ca="1" si="15"/>
        <v>nee</v>
      </c>
      <c r="C266" s="575" t="s">
        <v>2100</v>
      </c>
      <c r="D266" s="575" t="s">
        <v>2131</v>
      </c>
      <c r="E266" s="575" t="s">
        <v>2137</v>
      </c>
      <c r="F266" s="575" t="s">
        <v>2146</v>
      </c>
    </row>
    <row r="267" spans="1:6" s="576" customFormat="1" x14ac:dyDescent="0.25">
      <c r="A267" s="587" t="str">
        <f t="shared" si="14"/>
        <v>04-D-262</v>
      </c>
      <c r="B267" s="868" t="str">
        <f t="shared" ca="1" si="15"/>
        <v>Er zijn onvoldoende teams geselecteerd.</v>
      </c>
      <c r="C267" s="576" t="s">
        <v>2108</v>
      </c>
      <c r="D267" s="576" t="s">
        <v>2132</v>
      </c>
      <c r="E267" s="576" t="s">
        <v>2138</v>
      </c>
      <c r="F267" s="576" t="s">
        <v>2143</v>
      </c>
    </row>
    <row r="268" spans="1:6" s="575" customFormat="1" x14ac:dyDescent="0.25">
      <c r="A268" s="588" t="str">
        <f t="shared" si="14"/>
        <v>04-D-263</v>
      </c>
      <c r="B268" s="867" t="str">
        <f t="shared" ca="1" si="15"/>
        <v>Er zijn voldoende teams geselecteerd.</v>
      </c>
      <c r="C268" s="575" t="s">
        <v>2109</v>
      </c>
      <c r="D268" s="575" t="s">
        <v>2133</v>
      </c>
      <c r="E268" s="575" t="s">
        <v>2139</v>
      </c>
      <c r="F268" s="575" t="s">
        <v>2144</v>
      </c>
    </row>
    <row r="269" spans="1:6" s="576" customFormat="1" x14ac:dyDescent="0.25">
      <c r="A269" s="587" t="str">
        <f t="shared" si="14"/>
        <v>04-D-264</v>
      </c>
      <c r="B269" s="868" t="str">
        <f t="shared" ca="1" si="15"/>
        <v>Er zijn meer teams geselecteerd dan toegestaan.</v>
      </c>
      <c r="C269" s="576" t="s">
        <v>2110</v>
      </c>
      <c r="D269" s="576" t="s">
        <v>2134</v>
      </c>
      <c r="E269" s="576" t="s">
        <v>2140</v>
      </c>
      <c r="F269" s="576" t="s">
        <v>2145</v>
      </c>
    </row>
    <row r="270" spans="1:6" s="575" customFormat="1" x14ac:dyDescent="0.25">
      <c r="A270" s="588" t="str">
        <f t="shared" si="14"/>
        <v>04-D-265</v>
      </c>
      <c r="B270" s="867" t="str">
        <f t="shared" ca="1" si="15"/>
        <v>Zie volgende pagina voor de overige teams.</v>
      </c>
      <c r="C270" s="575" t="s">
        <v>2245</v>
      </c>
      <c r="D270" s="575" t="s">
        <v>2246</v>
      </c>
      <c r="E270" s="575" t="s">
        <v>2244</v>
      </c>
      <c r="F270" s="575" t="s">
        <v>2243</v>
      </c>
    </row>
    <row r="271" spans="1:6" s="576" customFormat="1" x14ac:dyDescent="0.25">
      <c r="A271" s="587" t="str">
        <f t="shared" si="14"/>
        <v>04-D-266</v>
      </c>
      <c r="B271" s="868" t="str">
        <f t="shared" ca="1" si="15"/>
        <v>Dit werkblad is niet van toepassing. De organisator heeft gekozen om de TEAMS functie niet te gebruiken.</v>
      </c>
      <c r="C271" s="576" t="s">
        <v>2247</v>
      </c>
      <c r="D271" s="576" t="s">
        <v>2248</v>
      </c>
      <c r="E271" s="576" t="s">
        <v>2249</v>
      </c>
      <c r="F271" s="576" t="s">
        <v>2250</v>
      </c>
    </row>
    <row r="272" spans="1:6" s="582" customFormat="1" x14ac:dyDescent="0.25">
      <c r="A272" s="580" t="str">
        <f t="shared" si="14"/>
        <v>04-D-267</v>
      </c>
      <c r="B272" s="872"/>
    </row>
    <row r="273" spans="1:2" s="579" customFormat="1" x14ac:dyDescent="0.25">
      <c r="A273" s="577" t="str">
        <f t="shared" si="14"/>
        <v>04-D-268</v>
      </c>
      <c r="B273" s="873"/>
    </row>
    <row r="274" spans="1:2" s="582" customFormat="1" x14ac:dyDescent="0.25">
      <c r="A274" s="580" t="str">
        <f t="shared" si="14"/>
        <v>04-D-269</v>
      </c>
      <c r="B274" s="872"/>
    </row>
    <row r="275" spans="1:2" s="579" customFormat="1" x14ac:dyDescent="0.25">
      <c r="A275" s="577" t="str">
        <f t="shared" si="14"/>
        <v>04-D-270</v>
      </c>
      <c r="B275" s="873"/>
    </row>
    <row r="276" spans="1:2" s="582" customFormat="1" x14ac:dyDescent="0.25">
      <c r="A276" s="580" t="str">
        <f t="shared" si="14"/>
        <v>04-D-271</v>
      </c>
      <c r="B276" s="872"/>
    </row>
    <row r="277" spans="1:2" s="579" customFormat="1" x14ac:dyDescent="0.25">
      <c r="A277" s="577" t="str">
        <f t="shared" si="14"/>
        <v>04-D-272</v>
      </c>
      <c r="B277" s="873"/>
    </row>
    <row r="278" spans="1:2" s="582" customFormat="1" x14ac:dyDescent="0.25">
      <c r="A278" s="580" t="str">
        <f t="shared" si="14"/>
        <v>04-D-273</v>
      </c>
      <c r="B278" s="872"/>
    </row>
    <row r="279" spans="1:2" s="579" customFormat="1" x14ac:dyDescent="0.25">
      <c r="A279" s="577" t="str">
        <f t="shared" si="14"/>
        <v>04-D-274</v>
      </c>
      <c r="B279" s="873"/>
    </row>
    <row r="280" spans="1:2" s="582" customFormat="1" x14ac:dyDescent="0.25">
      <c r="A280" s="580" t="str">
        <f t="shared" si="14"/>
        <v>04-D-275</v>
      </c>
      <c r="B280" s="87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4" t="s">
        <v>2050</v>
      </c>
      <c r="B1" s="94" t="s">
        <v>2482</v>
      </c>
      <c r="C1" s="94" t="s">
        <v>2480</v>
      </c>
      <c r="D1" s="94" t="s">
        <v>2481</v>
      </c>
      <c r="E1" s="94" t="s">
        <v>2557</v>
      </c>
    </row>
    <row r="2" spans="1:26" x14ac:dyDescent="0.25">
      <c r="B2" s="17"/>
      <c r="C2" s="17"/>
      <c r="D2" s="959"/>
      <c r="E2" s="17"/>
      <c r="F2" s="17"/>
      <c r="G2" s="17"/>
      <c r="H2" s="17"/>
      <c r="I2" s="17"/>
      <c r="J2" s="17"/>
      <c r="K2" s="17"/>
      <c r="L2" s="17"/>
      <c r="M2" s="17"/>
      <c r="N2" s="17"/>
      <c r="O2" s="17"/>
      <c r="P2" s="17"/>
      <c r="Q2" s="17"/>
      <c r="R2" s="17"/>
      <c r="S2" s="17"/>
      <c r="T2" s="17"/>
      <c r="V2" s="1144" t="str">
        <f ca="1">Taal01!$B$36</f>
        <v>Voorblad</v>
      </c>
      <c r="W2" s="1144"/>
      <c r="X2" s="1144"/>
      <c r="Y2" s="1144"/>
      <c r="Z2" s="1144"/>
    </row>
    <row r="3" spans="1:26" x14ac:dyDescent="0.25">
      <c r="B3" s="17"/>
      <c r="C3" s="1075"/>
      <c r="D3" s="1077"/>
      <c r="E3" s="1077"/>
      <c r="F3" s="1077"/>
      <c r="G3" s="1077"/>
      <c r="H3" s="1077"/>
      <c r="I3" s="1077"/>
      <c r="J3" s="1077"/>
      <c r="K3" s="1077"/>
      <c r="L3" s="1077"/>
      <c r="M3" s="1077"/>
      <c r="N3" s="1077"/>
      <c r="O3" s="1077"/>
      <c r="P3" s="1077"/>
      <c r="Q3" s="1077"/>
      <c r="R3" s="1085" t="str">
        <f ca="1">IF(Reglement!M3="","",Reglement!M3)</f>
        <v>EURO 2024: EK Polo-poule</v>
      </c>
      <c r="S3" s="1079"/>
      <c r="T3" s="17"/>
      <c r="V3" s="1144"/>
      <c r="W3" s="1144"/>
      <c r="X3" s="1144"/>
      <c r="Y3" s="1144"/>
      <c r="Z3" s="1144"/>
    </row>
    <row r="4" spans="1:26" x14ac:dyDescent="0.25">
      <c r="B4" s="17"/>
      <c r="C4" s="17"/>
      <c r="D4" s="17"/>
      <c r="E4" s="17"/>
      <c r="F4" s="17"/>
      <c r="G4" s="17"/>
      <c r="H4" s="17"/>
      <c r="I4" s="17"/>
      <c r="J4" s="17"/>
      <c r="K4" s="17"/>
      <c r="L4" s="17"/>
      <c r="M4" s="17"/>
      <c r="N4" s="17"/>
      <c r="O4" s="17"/>
      <c r="P4" s="17"/>
      <c r="Q4" s="17"/>
      <c r="R4" s="58"/>
      <c r="S4" s="17"/>
      <c r="T4" s="17"/>
      <c r="V4" s="1144"/>
      <c r="W4" s="1144"/>
      <c r="X4" s="1144"/>
      <c r="Y4" s="1144"/>
      <c r="Z4" s="1144"/>
    </row>
    <row r="5" spans="1:26" x14ac:dyDescent="0.25">
      <c r="B5" s="17"/>
      <c r="C5" s="1148"/>
      <c r="D5" s="1149"/>
      <c r="E5" s="1149"/>
      <c r="F5" s="1149"/>
      <c r="G5" s="1149"/>
      <c r="H5" s="1149"/>
      <c r="I5" s="1149"/>
      <c r="J5" s="1149"/>
      <c r="K5" s="1149"/>
      <c r="L5" s="1149"/>
      <c r="M5" s="1149"/>
      <c r="N5" s="1149"/>
      <c r="O5" s="1149"/>
      <c r="P5" s="1149"/>
      <c r="Q5" s="1149"/>
      <c r="R5" s="1149"/>
      <c r="S5" s="1150"/>
      <c r="T5" s="17"/>
      <c r="V5" s="88"/>
      <c r="W5" s="56"/>
      <c r="X5" s="386"/>
    </row>
    <row r="6" spans="1:26" x14ac:dyDescent="0.25">
      <c r="B6" s="17"/>
      <c r="C6" s="1151"/>
      <c r="D6" s="1152"/>
      <c r="E6" s="1152"/>
      <c r="F6" s="1152"/>
      <c r="G6" s="1152"/>
      <c r="H6" s="1152"/>
      <c r="I6" s="1152"/>
      <c r="J6" s="1152"/>
      <c r="K6" s="1152"/>
      <c r="L6" s="1152"/>
      <c r="M6" s="1152"/>
      <c r="N6" s="1152"/>
      <c r="O6" s="1152"/>
      <c r="P6" s="1152"/>
      <c r="Q6" s="1152"/>
      <c r="R6" s="1152"/>
      <c r="S6" s="1153"/>
      <c r="T6" s="17"/>
      <c r="V6" s="1044" t="str">
        <f>Taal01!$B$61&amp;" :"</f>
        <v>Choose your language :</v>
      </c>
      <c r="W6" s="15"/>
      <c r="X6" s="387"/>
    </row>
    <row r="7" spans="1:26" x14ac:dyDescent="0.25">
      <c r="B7" s="17"/>
      <c r="C7" s="1151"/>
      <c r="D7" s="1152"/>
      <c r="E7" s="1152"/>
      <c r="F7" s="1152"/>
      <c r="G7" s="1152"/>
      <c r="H7" s="1152"/>
      <c r="I7" s="1152"/>
      <c r="J7" s="1152"/>
      <c r="K7" s="1152"/>
      <c r="L7" s="1152"/>
      <c r="M7" s="1152"/>
      <c r="N7" s="1152"/>
      <c r="O7" s="1152"/>
      <c r="P7" s="1152"/>
      <c r="Q7" s="1152"/>
      <c r="R7" s="1152"/>
      <c r="S7" s="1153"/>
      <c r="T7" s="17"/>
      <c r="V7" s="1045"/>
      <c r="W7" s="648" t="s">
        <v>619</v>
      </c>
      <c r="X7" s="1046"/>
    </row>
    <row r="8" spans="1:26" x14ac:dyDescent="0.25">
      <c r="B8" s="17"/>
      <c r="C8" s="1151"/>
      <c r="D8" s="1152"/>
      <c r="E8" s="1152"/>
      <c r="F8" s="1152"/>
      <c r="G8" s="1152"/>
      <c r="H8" s="1152"/>
      <c r="I8" s="1152"/>
      <c r="J8" s="1152"/>
      <c r="K8" s="1152"/>
      <c r="L8" s="1152"/>
      <c r="M8" s="1152"/>
      <c r="N8" s="1152"/>
      <c r="O8" s="1152"/>
      <c r="P8" s="1152"/>
      <c r="Q8" s="1152"/>
      <c r="R8" s="1152"/>
      <c r="S8" s="1153"/>
      <c r="T8" s="17"/>
      <c r="V8" s="388"/>
      <c r="W8" s="57"/>
      <c r="X8" s="389"/>
    </row>
    <row r="9" spans="1:26" x14ac:dyDescent="0.25">
      <c r="B9" s="17"/>
      <c r="C9" s="1151"/>
      <c r="D9" s="1152"/>
      <c r="E9" s="1152"/>
      <c r="F9" s="1152"/>
      <c r="G9" s="1152"/>
      <c r="H9" s="1152"/>
      <c r="I9" s="1152"/>
      <c r="J9" s="1152"/>
      <c r="K9" s="1152"/>
      <c r="L9" s="1152"/>
      <c r="M9" s="1152"/>
      <c r="N9" s="1152"/>
      <c r="O9" s="1152"/>
      <c r="P9" s="1152"/>
      <c r="Q9" s="1152"/>
      <c r="R9" s="1152"/>
      <c r="S9" s="1153"/>
      <c r="T9" s="17"/>
    </row>
    <row r="10" spans="1:26" x14ac:dyDescent="0.25">
      <c r="B10" s="17"/>
      <c r="C10" s="1154"/>
      <c r="D10" s="1155"/>
      <c r="E10" s="1155"/>
      <c r="F10" s="1155"/>
      <c r="G10" s="1155"/>
      <c r="H10" s="1155"/>
      <c r="I10" s="1155"/>
      <c r="J10" s="1155"/>
      <c r="K10" s="1155"/>
      <c r="L10" s="1155"/>
      <c r="M10" s="1155"/>
      <c r="N10" s="1155"/>
      <c r="O10" s="1155"/>
      <c r="P10" s="1155"/>
      <c r="Q10" s="1155"/>
      <c r="R10" s="1155"/>
      <c r="S10" s="1156"/>
      <c r="T10" s="17"/>
      <c r="Y10" s="201"/>
      <c r="Z10" s="201"/>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1047"/>
      <c r="D12" s="16"/>
      <c r="E12" s="16"/>
      <c r="F12" s="16"/>
      <c r="G12" s="16"/>
      <c r="H12" s="16"/>
      <c r="I12" s="16"/>
      <c r="J12" s="16"/>
      <c r="K12" s="16"/>
      <c r="L12" s="16"/>
      <c r="M12" s="16"/>
      <c r="N12" s="16"/>
      <c r="O12" s="16"/>
      <c r="P12" s="16"/>
      <c r="Q12" s="16"/>
      <c r="R12" s="16"/>
      <c r="S12" s="1048"/>
      <c r="T12" s="17"/>
      <c r="Z12" s="951"/>
    </row>
    <row r="13" spans="1:26" x14ac:dyDescent="0.25">
      <c r="B13" s="17"/>
      <c r="C13" s="1049"/>
      <c r="D13" s="1157" t="str">
        <f ca="1">VLOOKUP(LOWER($S$65),$C$85:$L$98,3)</f>
        <v>HET EXCEL DEELNAME FORMULIER EURO 2024 (DUITSLAND)</v>
      </c>
      <c r="E13" s="1157"/>
      <c r="F13" s="1157"/>
      <c r="G13" s="1157"/>
      <c r="H13" s="1157"/>
      <c r="I13" s="1157"/>
      <c r="J13" s="1157"/>
      <c r="K13" s="1157"/>
      <c r="L13" s="1157"/>
      <c r="M13" s="1157"/>
      <c r="N13" s="1157"/>
      <c r="O13" s="1157"/>
      <c r="P13" s="1157"/>
      <c r="Q13" s="1157"/>
      <c r="R13" s="1157"/>
      <c r="S13" s="61"/>
      <c r="T13" s="17"/>
      <c r="Z13" s="951"/>
    </row>
    <row r="14" spans="1:26" x14ac:dyDescent="0.25">
      <c r="B14" s="17"/>
      <c r="C14" s="1049"/>
      <c r="D14" s="1157"/>
      <c r="E14" s="1157"/>
      <c r="F14" s="1157"/>
      <c r="G14" s="1157"/>
      <c r="H14" s="1157"/>
      <c r="I14" s="1157"/>
      <c r="J14" s="1157"/>
      <c r="K14" s="1157"/>
      <c r="L14" s="1157"/>
      <c r="M14" s="1157"/>
      <c r="N14" s="1157"/>
      <c r="O14" s="1157"/>
      <c r="P14" s="1157"/>
      <c r="Q14" s="1157"/>
      <c r="R14" s="1157"/>
      <c r="S14" s="61"/>
      <c r="T14" s="17"/>
      <c r="W14" s="958"/>
      <c r="Z14" s="951"/>
    </row>
    <row r="15" spans="1:26" x14ac:dyDescent="0.25">
      <c r="B15" s="17"/>
      <c r="C15" s="1158" t="str">
        <f>VLOOKUP(LOWER($S$65),$C$85:$L$98,10)</f>
        <v/>
      </c>
      <c r="D15" s="1159"/>
      <c r="E15" s="1159"/>
      <c r="F15" s="1159"/>
      <c r="G15" s="1159"/>
      <c r="H15" s="1159"/>
      <c r="I15" s="1159"/>
      <c r="J15" s="1159"/>
      <c r="K15" s="1159"/>
      <c r="L15" s="1159"/>
      <c r="M15" s="1159"/>
      <c r="N15" s="1159"/>
      <c r="O15" s="1159"/>
      <c r="P15" s="1159"/>
      <c r="Q15" s="1159"/>
      <c r="R15" s="1159"/>
      <c r="S15" s="1160"/>
      <c r="T15" s="17"/>
      <c r="Z15" s="951"/>
    </row>
    <row r="16" spans="1:26" x14ac:dyDescent="0.25">
      <c r="B16" s="17"/>
      <c r="C16" s="12"/>
      <c r="D16" s="12"/>
      <c r="E16" s="12"/>
      <c r="F16" s="12"/>
      <c r="G16" s="12"/>
      <c r="H16" s="12"/>
      <c r="I16" s="12"/>
      <c r="J16" s="12"/>
      <c r="K16" s="12"/>
      <c r="L16" s="12"/>
      <c r="M16" s="12"/>
      <c r="N16" s="12"/>
      <c r="O16" s="12"/>
      <c r="P16" s="12"/>
      <c r="Q16" s="12"/>
      <c r="R16" s="12"/>
      <c r="S16" s="12"/>
      <c r="T16" s="17"/>
      <c r="Z16" s="951"/>
    </row>
    <row r="17" spans="2:26" x14ac:dyDescent="0.25">
      <c r="B17" s="17"/>
      <c r="C17" s="1080"/>
      <c r="D17" s="1081" t="str">
        <f ca="1">Taal01!$B$8</f>
        <v>UEFA Europees kampioenschap: Duitsland</v>
      </c>
      <c r="E17" s="1082"/>
      <c r="F17" s="1082"/>
      <c r="G17" s="1082"/>
      <c r="H17" s="1082"/>
      <c r="I17" s="1082"/>
      <c r="J17" s="1082"/>
      <c r="K17" s="1082"/>
      <c r="L17" s="1082"/>
      <c r="M17" s="1082"/>
      <c r="N17" s="1082"/>
      <c r="O17" s="1082"/>
      <c r="P17" s="1082"/>
      <c r="Q17" s="1082"/>
      <c r="R17" s="1083"/>
      <c r="S17" s="1084"/>
      <c r="T17" s="17"/>
      <c r="Z17" s="951"/>
    </row>
    <row r="18" spans="2:26" x14ac:dyDescent="0.25">
      <c r="B18" s="17"/>
      <c r="C18" s="1049"/>
      <c r="D18" s="47"/>
      <c r="E18" s="17"/>
      <c r="F18" s="17"/>
      <c r="G18" s="17"/>
      <c r="H18" s="17"/>
      <c r="I18" s="17"/>
      <c r="J18" s="17"/>
      <c r="K18" s="17"/>
      <c r="L18" s="17"/>
      <c r="M18" s="17"/>
      <c r="N18" s="17"/>
      <c r="O18" s="17"/>
      <c r="P18" s="17"/>
      <c r="Q18" s="17"/>
      <c r="R18" s="59"/>
      <c r="S18" s="61"/>
      <c r="T18" s="17"/>
      <c r="W18" s="960"/>
    </row>
    <row r="19" spans="2:26" x14ac:dyDescent="0.25">
      <c r="B19" s="17"/>
      <c r="C19" s="1049"/>
      <c r="D19" s="17"/>
      <c r="E19" s="17"/>
      <c r="F19" s="17"/>
      <c r="G19" s="17"/>
      <c r="H19" s="17"/>
      <c r="I19" s="17"/>
      <c r="J19" s="17"/>
      <c r="K19" s="17"/>
      <c r="L19" s="17"/>
      <c r="M19" s="17"/>
      <c r="N19" s="17"/>
      <c r="O19" s="17"/>
      <c r="P19" s="17"/>
      <c r="Q19" s="17"/>
      <c r="R19" s="17"/>
      <c r="S19" s="61"/>
      <c r="T19" s="17"/>
    </row>
    <row r="20" spans="2:26" x14ac:dyDescent="0.25">
      <c r="B20" s="17"/>
      <c r="C20" s="1049"/>
      <c r="D20" s="17"/>
      <c r="E20" s="17"/>
      <c r="F20" s="17"/>
      <c r="G20" s="17"/>
      <c r="H20" s="17"/>
      <c r="I20" s="17"/>
      <c r="J20" s="17"/>
      <c r="K20" s="17"/>
      <c r="L20" s="17"/>
      <c r="M20" s="17"/>
      <c r="N20" s="95"/>
      <c r="O20" s="95"/>
      <c r="P20" s="95"/>
      <c r="Q20" s="95"/>
      <c r="R20" s="17"/>
      <c r="S20" s="61"/>
      <c r="T20" s="17"/>
    </row>
    <row r="21" spans="2:26" ht="15" customHeight="1" x14ac:dyDescent="0.25">
      <c r="B21" s="17"/>
      <c r="C21" s="1049"/>
      <c r="D21" s="17"/>
      <c r="E21" s="17"/>
      <c r="F21" s="17"/>
      <c r="G21" s="17"/>
      <c r="H21" s="17"/>
      <c r="I21" s="17"/>
      <c r="J21" s="17"/>
      <c r="K21" s="17"/>
      <c r="L21" s="17"/>
      <c r="M21" s="17"/>
      <c r="N21" s="95"/>
      <c r="O21" s="95"/>
      <c r="P21" s="95"/>
      <c r="Q21" s="95"/>
      <c r="R21" s="17"/>
      <c r="S21" s="61"/>
      <c r="T21" s="17"/>
    </row>
    <row r="22" spans="2:26" ht="15" customHeight="1" x14ac:dyDescent="0.25">
      <c r="B22" s="17"/>
      <c r="C22" s="1049"/>
      <c r="D22" s="17"/>
      <c r="E22" s="17"/>
      <c r="F22" s="17"/>
      <c r="G22" s="17"/>
      <c r="H22" s="17"/>
      <c r="I22" s="17"/>
      <c r="J22" s="17"/>
      <c r="K22" s="17"/>
      <c r="L22" s="17"/>
      <c r="M22" s="17"/>
      <c r="N22" s="95"/>
      <c r="O22" s="95"/>
      <c r="P22" s="95"/>
      <c r="Q22" s="95"/>
      <c r="R22" s="17"/>
      <c r="S22" s="61"/>
      <c r="T22" s="17"/>
    </row>
    <row r="23" spans="2:26" x14ac:dyDescent="0.25">
      <c r="B23" s="17"/>
      <c r="C23" s="1049"/>
      <c r="D23" s="17"/>
      <c r="E23" s="17"/>
      <c r="F23" s="17"/>
      <c r="G23" s="17"/>
      <c r="H23" s="17"/>
      <c r="I23" s="17"/>
      <c r="J23" s="17"/>
      <c r="K23" s="17"/>
      <c r="L23" s="17"/>
      <c r="M23" s="17"/>
      <c r="N23" s="95"/>
      <c r="O23" s="95"/>
      <c r="P23" s="95"/>
      <c r="Q23" s="95"/>
      <c r="R23" s="17"/>
      <c r="S23" s="61"/>
      <c r="T23" s="17"/>
    </row>
    <row r="24" spans="2:26" x14ac:dyDescent="0.25">
      <c r="B24" s="17"/>
      <c r="C24" s="1049"/>
      <c r="D24" s="17"/>
      <c r="E24" s="17"/>
      <c r="F24" s="17"/>
      <c r="G24" s="17"/>
      <c r="H24" s="17"/>
      <c r="I24" s="17"/>
      <c r="J24" s="17"/>
      <c r="K24" s="17"/>
      <c r="L24" s="17"/>
      <c r="M24" s="17"/>
      <c r="N24" s="95"/>
      <c r="O24" s="95"/>
      <c r="P24" s="95"/>
      <c r="Q24" s="95"/>
      <c r="R24" s="17"/>
      <c r="S24" s="61"/>
      <c r="T24" s="17"/>
      <c r="U24" s="44" t="s">
        <v>330</v>
      </c>
    </row>
    <row r="25" spans="2:26" x14ac:dyDescent="0.25">
      <c r="B25" s="17"/>
      <c r="C25" s="1049"/>
      <c r="D25" s="17"/>
      <c r="E25" s="17"/>
      <c r="F25" s="17"/>
      <c r="G25" s="17"/>
      <c r="H25" s="17"/>
      <c r="I25" s="17"/>
      <c r="J25" s="17"/>
      <c r="K25" s="17"/>
      <c r="L25" s="17"/>
      <c r="M25" s="95"/>
      <c r="N25" s="95"/>
      <c r="O25" s="95"/>
      <c r="P25" s="95"/>
      <c r="Q25" s="95"/>
      <c r="R25" s="17"/>
      <c r="S25" s="61"/>
      <c r="T25" s="17"/>
    </row>
    <row r="26" spans="2:26" x14ac:dyDescent="0.25">
      <c r="B26" s="17"/>
      <c r="C26" s="1049"/>
      <c r="D26" s="17"/>
      <c r="E26" s="17"/>
      <c r="F26" s="17"/>
      <c r="G26" s="17"/>
      <c r="H26" s="17"/>
      <c r="I26" s="17"/>
      <c r="J26" s="17"/>
      <c r="K26" s="17"/>
      <c r="L26" s="17"/>
      <c r="M26" s="95"/>
      <c r="N26" s="95"/>
      <c r="O26" s="95"/>
      <c r="P26" s="95"/>
      <c r="Q26" s="17"/>
      <c r="R26" s="17"/>
      <c r="S26" s="61"/>
      <c r="T26" s="17"/>
    </row>
    <row r="27" spans="2:26" ht="15" customHeight="1" x14ac:dyDescent="0.25">
      <c r="B27" s="17"/>
      <c r="C27" s="1049"/>
      <c r="D27" s="17"/>
      <c r="E27" s="17"/>
      <c r="F27" s="17"/>
      <c r="G27" s="17"/>
      <c r="H27" s="17"/>
      <c r="I27" s="17"/>
      <c r="J27" s="17"/>
      <c r="K27" s="17"/>
      <c r="L27" s="17"/>
      <c r="M27" s="117"/>
      <c r="N27" s="117"/>
      <c r="O27" s="117"/>
      <c r="P27" s="117"/>
      <c r="Q27" s="117"/>
      <c r="R27" s="117"/>
      <c r="S27" s="61"/>
      <c r="T27" s="17"/>
    </row>
    <row r="28" spans="2:26" ht="15" customHeight="1" x14ac:dyDescent="0.25">
      <c r="B28" s="17"/>
      <c r="C28" s="1049"/>
      <c r="D28" s="17"/>
      <c r="E28" s="17"/>
      <c r="F28" s="17"/>
      <c r="G28" s="17"/>
      <c r="H28" s="17"/>
      <c r="I28" s="17"/>
      <c r="J28" s="17"/>
      <c r="K28" s="17"/>
      <c r="L28" s="17"/>
      <c r="M28" s="17"/>
      <c r="N28" s="17"/>
      <c r="O28" s="17"/>
      <c r="P28" s="17"/>
      <c r="Q28" s="17"/>
      <c r="R28" s="17"/>
      <c r="S28" s="61"/>
      <c r="T28" s="17"/>
    </row>
    <row r="29" spans="2:26" x14ac:dyDescent="0.25">
      <c r="B29" s="17"/>
      <c r="C29" s="1049"/>
      <c r="D29" s="17"/>
      <c r="E29" s="17"/>
      <c r="F29" s="17"/>
      <c r="G29" s="17"/>
      <c r="H29" s="17"/>
      <c r="I29" s="17"/>
      <c r="J29" s="17"/>
      <c r="K29" s="17"/>
      <c r="L29" s="17"/>
      <c r="M29" s="17"/>
      <c r="N29" s="17"/>
      <c r="O29" s="17"/>
      <c r="P29" s="17"/>
      <c r="Q29" s="17"/>
      <c r="R29" s="17"/>
      <c r="S29" s="61"/>
      <c r="T29" s="17"/>
    </row>
    <row r="30" spans="2:26" x14ac:dyDescent="0.25">
      <c r="B30" s="17"/>
      <c r="C30" s="1049"/>
      <c r="D30" s="17"/>
      <c r="E30" s="17"/>
      <c r="F30" s="17"/>
      <c r="G30" s="17"/>
      <c r="H30" s="17"/>
      <c r="I30" s="17"/>
      <c r="J30" s="17"/>
      <c r="K30" s="17"/>
      <c r="L30" s="17"/>
      <c r="M30" s="17"/>
      <c r="N30" s="17"/>
      <c r="O30" s="17"/>
      <c r="P30" s="17"/>
      <c r="Q30" s="17"/>
      <c r="R30" s="17"/>
      <c r="S30" s="61"/>
      <c r="T30" s="17"/>
    </row>
    <row r="31" spans="2:26" x14ac:dyDescent="0.25">
      <c r="B31" s="17"/>
      <c r="C31" s="1049"/>
      <c r="D31" s="17"/>
      <c r="E31" s="17"/>
      <c r="F31" s="17"/>
      <c r="G31" s="17"/>
      <c r="H31" s="17"/>
      <c r="I31" s="17"/>
      <c r="J31" s="17"/>
      <c r="K31" s="17"/>
      <c r="L31" s="17"/>
      <c r="M31" s="17"/>
      <c r="N31" s="17"/>
      <c r="O31" s="17"/>
      <c r="P31" s="17"/>
      <c r="Q31" s="17"/>
      <c r="R31" s="17"/>
      <c r="S31" s="61"/>
      <c r="T31" s="17"/>
    </row>
    <row r="32" spans="2:26" x14ac:dyDescent="0.25">
      <c r="B32" s="17"/>
      <c r="C32" s="1049"/>
      <c r="D32" s="17"/>
      <c r="E32" s="17"/>
      <c r="F32" s="17"/>
      <c r="G32" s="17"/>
      <c r="H32" s="17"/>
      <c r="I32" s="17"/>
      <c r="J32" s="17"/>
      <c r="K32" s="17"/>
      <c r="L32" s="17"/>
      <c r="M32" s="17"/>
      <c r="N32" s="17"/>
      <c r="O32" s="17"/>
      <c r="P32" s="17"/>
      <c r="Q32" s="17"/>
      <c r="R32" s="17"/>
      <c r="S32" s="61"/>
      <c r="T32" s="17"/>
    </row>
    <row r="33" spans="2:30" x14ac:dyDescent="0.25">
      <c r="B33" s="17"/>
      <c r="C33" s="1049"/>
      <c r="D33" s="17"/>
      <c r="E33" s="17"/>
      <c r="F33" s="17"/>
      <c r="G33" s="17"/>
      <c r="H33" s="17"/>
      <c r="I33" s="17"/>
      <c r="J33" s="17"/>
      <c r="K33" s="17"/>
      <c r="L33" s="17"/>
      <c r="M33" s="17"/>
      <c r="N33" s="17"/>
      <c r="O33" s="17"/>
      <c r="P33" s="17"/>
      <c r="Q33" s="17"/>
      <c r="R33" s="17"/>
      <c r="S33" s="61"/>
      <c r="T33" s="17"/>
    </row>
    <row r="34" spans="2:30" x14ac:dyDescent="0.25">
      <c r="B34" s="17"/>
      <c r="C34" s="1049"/>
      <c r="D34" s="17"/>
      <c r="E34" s="17"/>
      <c r="F34" s="17"/>
      <c r="G34" s="17"/>
      <c r="H34" s="17"/>
      <c r="I34" s="17"/>
      <c r="J34" s="17"/>
      <c r="K34" s="17"/>
      <c r="L34" s="17"/>
      <c r="M34" s="17"/>
      <c r="N34" s="17"/>
      <c r="O34" s="17"/>
      <c r="P34" s="17"/>
      <c r="Q34" s="17"/>
      <c r="R34" s="17"/>
      <c r="S34" s="61"/>
      <c r="T34" s="17"/>
    </row>
    <row r="35" spans="2:30" ht="15" customHeight="1" x14ac:dyDescent="0.25">
      <c r="B35" s="17"/>
      <c r="C35" s="1049"/>
      <c r="D35" s="17"/>
      <c r="E35" s="17"/>
      <c r="F35" s="17"/>
      <c r="G35" s="17"/>
      <c r="H35" s="17"/>
      <c r="I35" s="17"/>
      <c r="J35" s="17"/>
      <c r="K35" s="17"/>
      <c r="L35" s="17"/>
      <c r="M35" s="17"/>
      <c r="N35" s="17"/>
      <c r="O35" s="17"/>
      <c r="P35" s="17"/>
      <c r="Q35" s="17"/>
      <c r="R35" s="17"/>
      <c r="S35" s="61"/>
      <c r="T35" s="17"/>
    </row>
    <row r="36" spans="2:30" ht="15" customHeight="1" x14ac:dyDescent="0.25">
      <c r="B36" s="17"/>
      <c r="C36" s="1049"/>
      <c r="D36" s="17"/>
      <c r="E36" s="17"/>
      <c r="F36" s="17"/>
      <c r="G36" s="17"/>
      <c r="H36" s="17"/>
      <c r="I36" s="17"/>
      <c r="J36" s="17"/>
      <c r="K36" s="17"/>
      <c r="L36" s="17"/>
      <c r="M36" s="17"/>
      <c r="N36" s="17"/>
      <c r="O36" s="17"/>
      <c r="P36" s="17"/>
      <c r="Q36" s="17"/>
      <c r="R36" s="17"/>
      <c r="S36" s="61"/>
      <c r="T36" s="17"/>
    </row>
    <row r="37" spans="2:30" ht="15" customHeight="1" x14ac:dyDescent="0.25">
      <c r="B37" s="17"/>
      <c r="C37" s="1049"/>
      <c r="D37" s="17"/>
      <c r="E37" s="17"/>
      <c r="F37" s="17"/>
      <c r="G37" s="17"/>
      <c r="H37" s="17"/>
      <c r="I37" s="17"/>
      <c r="J37" s="17"/>
      <c r="K37" s="17"/>
      <c r="L37" s="17"/>
      <c r="M37" s="17"/>
      <c r="N37" s="17"/>
      <c r="O37" s="17"/>
      <c r="P37" s="17"/>
      <c r="Q37" s="17"/>
      <c r="R37" s="17"/>
      <c r="S37" s="61"/>
      <c r="T37" s="17"/>
    </row>
    <row r="38" spans="2:30" ht="15" customHeight="1" x14ac:dyDescent="0.25">
      <c r="B38" s="17"/>
      <c r="C38" s="1049"/>
      <c r="D38" s="17"/>
      <c r="E38" s="17"/>
      <c r="F38" s="17"/>
      <c r="G38" s="17"/>
      <c r="H38" s="17"/>
      <c r="I38" s="17"/>
      <c r="J38" s="17"/>
      <c r="K38" s="17"/>
      <c r="L38" s="17"/>
      <c r="M38" s="17"/>
      <c r="N38" s="17"/>
      <c r="O38" s="17"/>
      <c r="P38" s="17"/>
      <c r="Q38" s="17"/>
      <c r="R38" s="17"/>
      <c r="S38" s="61"/>
      <c r="T38" s="17"/>
    </row>
    <row r="39" spans="2:30" ht="15" customHeight="1" x14ac:dyDescent="0.25">
      <c r="B39" s="17"/>
      <c r="C39" s="1049"/>
      <c r="D39" s="17"/>
      <c r="E39" s="17"/>
      <c r="F39" s="17"/>
      <c r="G39" s="17"/>
      <c r="H39" s="17"/>
      <c r="I39" s="17"/>
      <c r="J39" s="17"/>
      <c r="K39" s="17"/>
      <c r="L39" s="17"/>
      <c r="M39" s="17"/>
      <c r="N39" s="17"/>
      <c r="O39" s="17"/>
      <c r="P39" s="17"/>
      <c r="Q39" s="17"/>
      <c r="R39" s="17"/>
      <c r="S39" s="61"/>
      <c r="T39" s="17"/>
      <c r="AD39" s="952"/>
    </row>
    <row r="40" spans="2:30" ht="15" customHeight="1" x14ac:dyDescent="0.25">
      <c r="B40" s="17"/>
      <c r="C40" s="1049"/>
      <c r="D40" s="17"/>
      <c r="E40" s="17"/>
      <c r="F40" s="17"/>
      <c r="G40" s="17"/>
      <c r="H40" s="17"/>
      <c r="I40" s="17"/>
      <c r="J40" s="17"/>
      <c r="K40" s="17"/>
      <c r="L40" s="17"/>
      <c r="M40" s="17"/>
      <c r="N40" s="17"/>
      <c r="O40" s="17"/>
      <c r="P40" s="17"/>
      <c r="Q40" s="17"/>
      <c r="R40" s="17"/>
      <c r="S40" s="61"/>
      <c r="T40" s="17"/>
    </row>
    <row r="41" spans="2:30" ht="15" customHeight="1" x14ac:dyDescent="0.5">
      <c r="B41" s="17"/>
      <c r="C41" s="1049"/>
      <c r="D41" s="17"/>
      <c r="E41" s="17"/>
      <c r="F41" s="17"/>
      <c r="G41" s="17"/>
      <c r="H41" s="17"/>
      <c r="I41" s="17"/>
      <c r="J41" s="467"/>
      <c r="K41" s="467"/>
      <c r="L41" s="467"/>
      <c r="M41" s="467"/>
      <c r="N41" s="17"/>
      <c r="O41" s="17"/>
      <c r="P41" s="17"/>
      <c r="Q41" s="17"/>
      <c r="R41" s="17"/>
      <c r="S41" s="61"/>
      <c r="T41" s="17"/>
    </row>
    <row r="42" spans="2:30" ht="15" customHeight="1" x14ac:dyDescent="0.5">
      <c r="B42" s="17"/>
      <c r="C42" s="1049"/>
      <c r="D42" s="17"/>
      <c r="E42" s="17"/>
      <c r="F42" s="17"/>
      <c r="G42" s="17"/>
      <c r="H42" s="17"/>
      <c r="I42" s="17"/>
      <c r="J42" s="467"/>
      <c r="K42" s="467"/>
      <c r="L42" s="467"/>
      <c r="M42" s="467"/>
      <c r="N42" s="17"/>
      <c r="O42" s="17"/>
      <c r="P42" s="17"/>
      <c r="Q42" s="17"/>
      <c r="R42" s="17"/>
      <c r="S42" s="61"/>
      <c r="T42" s="17"/>
    </row>
    <row r="43" spans="2:30" ht="15" customHeight="1" x14ac:dyDescent="0.25">
      <c r="B43" s="17"/>
      <c r="C43" s="1049"/>
      <c r="D43" s="17"/>
      <c r="E43" s="17"/>
      <c r="F43" s="17"/>
      <c r="G43" s="17"/>
      <c r="H43" s="17"/>
      <c r="I43" s="17"/>
      <c r="J43" s="1163" t="str">
        <f ca="1">UPPER(IF($D$13=$C$80&amp;" "&amp;$C$77,"",IF(M45=1,Taal01!$B$9,IF(M45&gt;1,SUBSTITUTE(Taal01!$B$10,"###",M45),""))))</f>
        <v>NOG 20 DAGEN TOT DE START VAN EURO 2024</v>
      </c>
      <c r="K43" s="1163"/>
      <c r="L43" s="1163"/>
      <c r="M43" s="1163"/>
      <c r="N43" s="17"/>
      <c r="O43" s="17"/>
      <c r="P43" s="17"/>
      <c r="Q43" s="17"/>
      <c r="R43" s="17"/>
      <c r="S43" s="61"/>
      <c r="T43" s="17"/>
    </row>
    <row r="44" spans="2:30" ht="15" customHeight="1" x14ac:dyDescent="0.25">
      <c r="B44" s="17"/>
      <c r="C44" s="1049"/>
      <c r="D44" s="456"/>
      <c r="E44" s="456"/>
      <c r="F44" s="456"/>
      <c r="G44" s="456"/>
      <c r="H44" s="456"/>
      <c r="I44" s="456"/>
      <c r="J44" s="1163"/>
      <c r="K44" s="1163"/>
      <c r="L44" s="1163"/>
      <c r="M44" s="1163"/>
      <c r="N44" s="17"/>
      <c r="O44" s="17"/>
      <c r="P44" s="17"/>
      <c r="Q44" s="17"/>
      <c r="R44" s="17"/>
      <c r="S44" s="61"/>
      <c r="T44" s="17"/>
    </row>
    <row r="45" spans="2:30" ht="15" customHeight="1" x14ac:dyDescent="0.5">
      <c r="B45" s="17"/>
      <c r="C45" s="1049"/>
      <c r="D45" s="457"/>
      <c r="E45" s="457"/>
      <c r="F45" s="457"/>
      <c r="G45" s="457"/>
      <c r="H45" s="457"/>
      <c r="I45" s="457"/>
      <c r="J45" s="1037">
        <f ca="1">TODAY()</f>
        <v>45437</v>
      </c>
      <c r="K45" s="1147">
        <v>45457</v>
      </c>
      <c r="L45" s="1147"/>
      <c r="M45" s="466">
        <f ca="1">K45-J45</f>
        <v>20</v>
      </c>
      <c r="N45" s="17"/>
      <c r="O45" s="17"/>
      <c r="P45" s="17"/>
      <c r="Q45" s="17"/>
      <c r="R45" s="17"/>
      <c r="S45" s="61"/>
      <c r="T45" s="17"/>
    </row>
    <row r="46" spans="2:30" ht="15" customHeight="1" x14ac:dyDescent="0.5">
      <c r="B46" s="17"/>
      <c r="C46" s="1050"/>
      <c r="D46" s="1051"/>
      <c r="E46" s="1051"/>
      <c r="F46" s="1051"/>
      <c r="G46" s="1051"/>
      <c r="H46" s="1051"/>
      <c r="I46" s="1051"/>
      <c r="J46" s="1051"/>
      <c r="K46" s="108"/>
      <c r="L46" s="108"/>
      <c r="M46" s="108"/>
      <c r="N46" s="108"/>
      <c r="O46" s="108"/>
      <c r="P46" s="108"/>
      <c r="Q46" s="108"/>
      <c r="R46" s="108"/>
      <c r="S46" s="1052"/>
      <c r="T46" s="17"/>
    </row>
    <row r="47" spans="2:30" x14ac:dyDescent="0.25">
      <c r="B47" s="17"/>
      <c r="C47" s="12"/>
      <c r="D47" s="464"/>
      <c r="E47" s="464"/>
      <c r="F47" s="464"/>
      <c r="G47" s="464"/>
      <c r="H47" s="464"/>
      <c r="I47" s="465"/>
      <c r="J47" s="465"/>
      <c r="K47" s="12"/>
      <c r="L47" s="12"/>
      <c r="M47" s="12"/>
      <c r="N47" s="12"/>
      <c r="O47" s="12"/>
      <c r="P47" s="12"/>
      <c r="Q47" s="12"/>
      <c r="R47" s="12"/>
      <c r="S47" s="12"/>
      <c r="T47" s="17"/>
    </row>
    <row r="48" spans="2:30" x14ac:dyDescent="0.25">
      <c r="B48" s="17"/>
      <c r="C48" s="1047"/>
      <c r="D48" s="16"/>
      <c r="E48" s="16"/>
      <c r="F48" s="16"/>
      <c r="G48" s="16"/>
      <c r="H48" s="16"/>
      <c r="I48" s="16"/>
      <c r="J48" s="16"/>
      <c r="K48" s="16"/>
      <c r="L48" s="16"/>
      <c r="M48" s="16"/>
      <c r="N48" s="16"/>
      <c r="O48" s="16"/>
      <c r="P48" s="16"/>
      <c r="Q48" s="16"/>
      <c r="R48" s="16"/>
      <c r="S48" s="1048"/>
      <c r="T48" s="17"/>
    </row>
    <row r="49" spans="2:20" ht="18.75" customHeight="1" x14ac:dyDescent="0.3">
      <c r="B49" s="17"/>
      <c r="C49" s="1049"/>
      <c r="D49" s="17"/>
      <c r="E49" s="17"/>
      <c r="F49" s="17"/>
      <c r="G49" s="540" t="str">
        <f ca="1">Taal02!$B$6</f>
        <v>Groep A</v>
      </c>
      <c r="H49" s="541"/>
      <c r="I49" s="541"/>
      <c r="J49" s="542" t="str">
        <f ca="1">Taal02!$B$11</f>
        <v>Groep B</v>
      </c>
      <c r="K49" s="401"/>
      <c r="L49" s="543"/>
      <c r="M49" s="542" t="str">
        <f ca="1">Taal02!$B$16</f>
        <v>Groep C</v>
      </c>
      <c r="N49" s="541"/>
      <c r="O49" s="541"/>
      <c r="P49" s="542" t="str">
        <f ca="1">Taal02!$B$36</f>
        <v>Groep G</v>
      </c>
      <c r="Q49" s="78"/>
      <c r="R49" s="17"/>
      <c r="S49" s="61"/>
      <c r="T49" s="17"/>
    </row>
    <row r="50" spans="2:20" ht="18.75" customHeight="1" x14ac:dyDescent="0.3">
      <c r="B50" s="17"/>
      <c r="C50" s="1049"/>
      <c r="D50" s="17"/>
      <c r="E50" s="17"/>
      <c r="F50" s="17"/>
      <c r="G50" s="541" t="str">
        <f ca="1">VLOOKUP(RIGHT(G49,1)&amp;"1",$X$67:$Z$98,2)</f>
        <v>Duitsland</v>
      </c>
      <c r="H50" s="17"/>
      <c r="I50" s="17"/>
      <c r="J50" s="544" t="str">
        <f ca="1">VLOOKUP(RIGHT(J49,1)&amp;"1",$X$67:$Z$98,2)</f>
        <v>Spanje</v>
      </c>
      <c r="K50" s="401"/>
      <c r="L50" s="401"/>
      <c r="M50" s="544" t="str">
        <f ca="1">VLOOKUP(RIGHT(M49,1)&amp;"1",$X$67:$Z$98,2)</f>
        <v>Slovenië</v>
      </c>
      <c r="N50" s="17"/>
      <c r="O50" s="17"/>
      <c r="P50" s="544" t="str">
        <f ca="1">VLOOKUP(RIGHT(P49,1)&amp;"1",$X$67:$Z$98,2)</f>
        <v>ZZZ_land_G1</v>
      </c>
      <c r="Q50" s="78"/>
      <c r="R50" s="17"/>
      <c r="S50" s="61"/>
      <c r="T50" s="17"/>
    </row>
    <row r="51" spans="2:20" ht="18.75" customHeight="1" x14ac:dyDescent="0.3">
      <c r="B51" s="17"/>
      <c r="C51" s="1049"/>
      <c r="D51" s="17"/>
      <c r="E51" s="17"/>
      <c r="F51" s="17"/>
      <c r="G51" s="541" t="str">
        <f ca="1">VLOOKUP(RIGHT(G49,1)&amp;"2",$X$67:$Z$98,2)</f>
        <v>Schotland</v>
      </c>
      <c r="H51" s="17"/>
      <c r="I51" s="17"/>
      <c r="J51" s="544" t="str">
        <f ca="1">VLOOKUP(RIGHT(J49,1)&amp;"2",$X$67:$Z$98,2)</f>
        <v>Kroatië</v>
      </c>
      <c r="K51" s="401"/>
      <c r="L51" s="401"/>
      <c r="M51" s="544" t="str">
        <f ca="1">VLOOKUP(RIGHT(M49,1)&amp;"2",$X$67:$Z$98,2)</f>
        <v>Denemarken</v>
      </c>
      <c r="N51" s="17"/>
      <c r="O51" s="17"/>
      <c r="P51" s="544" t="str">
        <f ca="1">VLOOKUP(RIGHT(P49,1)&amp;"2",$X$67:$Z$98,2)</f>
        <v>ZZZ_land_G2</v>
      </c>
      <c r="Q51" s="78"/>
      <c r="R51" s="17"/>
      <c r="S51" s="61"/>
      <c r="T51" s="17"/>
    </row>
    <row r="52" spans="2:20" ht="18.75" customHeight="1" x14ac:dyDescent="0.3">
      <c r="B52" s="17"/>
      <c r="C52" s="1049"/>
      <c r="D52" s="17"/>
      <c r="E52" s="17"/>
      <c r="F52" s="17"/>
      <c r="G52" s="541" t="str">
        <f ca="1">VLOOKUP(RIGHT(G49,1)&amp;"3",$X$67:$Z$98,2)</f>
        <v>Hongarije</v>
      </c>
      <c r="H52" s="17"/>
      <c r="I52" s="17"/>
      <c r="J52" s="544" t="str">
        <f ca="1">VLOOKUP(RIGHT(J49,1)&amp;"3",$X$67:$Z$98,2)</f>
        <v>Italië</v>
      </c>
      <c r="K52" s="401"/>
      <c r="L52" s="401"/>
      <c r="M52" s="544" t="str">
        <f ca="1">VLOOKUP(RIGHT(M49,1)&amp;"3",$X$67:$Z$98,2)</f>
        <v>Servië</v>
      </c>
      <c r="N52" s="17"/>
      <c r="O52" s="17"/>
      <c r="P52" s="544" t="str">
        <f ca="1">VLOOKUP(RIGHT(P49,1)&amp;"3",$X$67:$Z$98,2)</f>
        <v>ZZZ_land_G3</v>
      </c>
      <c r="Q52" s="78"/>
      <c r="R52" s="17"/>
      <c r="S52" s="61"/>
      <c r="T52" s="17"/>
    </row>
    <row r="53" spans="2:20" ht="18.75" customHeight="1" x14ac:dyDescent="0.3">
      <c r="B53" s="17"/>
      <c r="C53" s="1049"/>
      <c r="D53" s="17"/>
      <c r="E53" s="17"/>
      <c r="F53" s="17"/>
      <c r="G53" s="541" t="str">
        <f ca="1">VLOOKUP(RIGHT(G49,1)&amp;"4",$X$67:$Z$98,2)</f>
        <v>Zwitserland</v>
      </c>
      <c r="H53" s="17"/>
      <c r="I53" s="17"/>
      <c r="J53" s="544" t="str">
        <f ca="1">VLOOKUP(RIGHT(J49,1)&amp;"4",$X$67:$Z$98,2)</f>
        <v>Albanië</v>
      </c>
      <c r="K53" s="401"/>
      <c r="L53" s="401"/>
      <c r="M53" s="544" t="str">
        <f ca="1">VLOOKUP(RIGHT(M49,1)&amp;"4",$X$67:$Z$98,2)</f>
        <v>Engeland</v>
      </c>
      <c r="N53" s="17"/>
      <c r="O53" s="17"/>
      <c r="P53" s="544" t="str">
        <f ca="1">VLOOKUP(RIGHT(P49,1)&amp;"4",$X$67:$Z$98,2)</f>
        <v>ZZZ_land_G4</v>
      </c>
      <c r="Q53" s="78"/>
      <c r="R53" s="17"/>
      <c r="S53" s="61"/>
      <c r="T53" s="17"/>
    </row>
    <row r="54" spans="2:20" x14ac:dyDescent="0.25">
      <c r="B54" s="17"/>
      <c r="C54" s="1049"/>
      <c r="D54" s="17"/>
      <c r="E54" s="17"/>
      <c r="F54" s="17"/>
      <c r="G54" s="17"/>
      <c r="H54" s="17"/>
      <c r="I54" s="17"/>
      <c r="J54" s="17"/>
      <c r="K54" s="17"/>
      <c r="L54" s="17"/>
      <c r="M54" s="17"/>
      <c r="N54" s="17"/>
      <c r="O54" s="17"/>
      <c r="P54" s="78"/>
      <c r="Q54" s="78"/>
      <c r="R54" s="17"/>
      <c r="S54" s="61"/>
      <c r="T54" s="17"/>
    </row>
    <row r="55" spans="2:20" ht="18.75" x14ac:dyDescent="0.3">
      <c r="B55" s="17"/>
      <c r="C55" s="1049"/>
      <c r="D55" s="17"/>
      <c r="E55" s="17"/>
      <c r="F55" s="17"/>
      <c r="G55" s="540" t="str">
        <f ca="1">Taal02!$B$21</f>
        <v>Groep D</v>
      </c>
      <c r="H55" s="541"/>
      <c r="I55" s="541"/>
      <c r="J55" s="540" t="str">
        <f ca="1">Taal02!$B$26</f>
        <v>Groep E</v>
      </c>
      <c r="K55" s="17"/>
      <c r="L55" s="541"/>
      <c r="M55" s="540" t="str">
        <f ca="1">Taal02!$B$31</f>
        <v>Groep F</v>
      </c>
      <c r="N55" s="541"/>
      <c r="O55" s="541"/>
      <c r="P55" s="542" t="str">
        <f ca="1">Taal02!$B$41</f>
        <v>Groep H</v>
      </c>
      <c r="Q55" s="78"/>
      <c r="R55" s="17"/>
      <c r="S55" s="61"/>
      <c r="T55" s="17"/>
    </row>
    <row r="56" spans="2:20" ht="18.75" x14ac:dyDescent="0.3">
      <c r="B56" s="17"/>
      <c r="C56" s="1049"/>
      <c r="D56" s="17"/>
      <c r="E56" s="17"/>
      <c r="F56" s="17"/>
      <c r="G56" s="541" t="str">
        <f ca="1">VLOOKUP(RIGHT(G55,1)&amp;"1",$X$67:$Z$98,2)</f>
        <v>Polen</v>
      </c>
      <c r="H56" s="541"/>
      <c r="I56" s="541"/>
      <c r="J56" s="541" t="str">
        <f ca="1">VLOOKUP(RIGHT(J55,1)&amp;"1",$X$67:$Z$98,2)</f>
        <v>België</v>
      </c>
      <c r="K56" s="541"/>
      <c r="L56" s="541"/>
      <c r="M56" s="541" t="str">
        <f ca="1">VLOOKUP(RIGHT(M55,1)&amp;"1",$X$67:$Z$98,2)</f>
        <v>Turkije</v>
      </c>
      <c r="N56" s="541"/>
      <c r="O56" s="541"/>
      <c r="P56" s="544" t="str">
        <f ca="1">VLOOKUP(RIGHT(P55,1)&amp;"1",$X$67:$Z$98,2)</f>
        <v>ZZZ_land_H1</v>
      </c>
      <c r="Q56" s="78"/>
      <c r="R56" s="17"/>
      <c r="S56" s="61"/>
      <c r="T56" s="17"/>
    </row>
    <row r="57" spans="2:20" ht="18.75" x14ac:dyDescent="0.3">
      <c r="B57" s="17"/>
      <c r="C57" s="1049"/>
      <c r="D57" s="17"/>
      <c r="E57" s="17"/>
      <c r="F57" s="17"/>
      <c r="G57" s="541" t="str">
        <f ca="1">VLOOKUP(RIGHT(G55,1)&amp;"2",$X$67:$Z$98,2)</f>
        <v>Nederland</v>
      </c>
      <c r="H57" s="541"/>
      <c r="I57" s="541"/>
      <c r="J57" s="541" t="str">
        <f ca="1">VLOOKUP(RIGHT(J55,1)&amp;"2",$X$67:$Z$98,2)</f>
        <v>Slowakije</v>
      </c>
      <c r="K57" s="541"/>
      <c r="L57" s="541"/>
      <c r="M57" s="541" t="str">
        <f ca="1">VLOOKUP(RIGHT(M55,1)&amp;"2",$X$67:$Z$98,2)</f>
        <v>Georgië</v>
      </c>
      <c r="N57" s="541"/>
      <c r="O57" s="541"/>
      <c r="P57" s="544" t="str">
        <f ca="1">VLOOKUP(RIGHT(P55,1)&amp;"2",$X$67:$Z$98,2)</f>
        <v>ZZZ_land_H2</v>
      </c>
      <c r="Q57" s="78"/>
      <c r="R57" s="17"/>
      <c r="S57" s="61"/>
      <c r="T57" s="17"/>
    </row>
    <row r="58" spans="2:20" ht="18.75" x14ac:dyDescent="0.3">
      <c r="B58" s="17"/>
      <c r="C58" s="1049"/>
      <c r="D58" s="17"/>
      <c r="E58" s="17"/>
      <c r="F58" s="17"/>
      <c r="G58" s="541" t="str">
        <f ca="1">VLOOKUP(RIGHT(G55,1)&amp;"3",$X$67:$Z$98,2)</f>
        <v>Oostenrijk</v>
      </c>
      <c r="H58" s="541"/>
      <c r="I58" s="541"/>
      <c r="J58" s="541" t="str">
        <f ca="1">VLOOKUP(RIGHT(J55,1)&amp;"3",$X$67:$Z$98,2)</f>
        <v>Roemenië</v>
      </c>
      <c r="K58" s="541"/>
      <c r="L58" s="541"/>
      <c r="M58" s="541" t="str">
        <f ca="1">VLOOKUP(RIGHT(M55,1)&amp;"3",$X$67:$Z$98,2)</f>
        <v>Portugal</v>
      </c>
      <c r="N58" s="541"/>
      <c r="O58" s="541"/>
      <c r="P58" s="544" t="str">
        <f ca="1">VLOOKUP(RIGHT(P55,1)&amp;"3",$X$67:$Z$98,2)</f>
        <v>ZZZ_land_H3</v>
      </c>
      <c r="Q58" s="78"/>
      <c r="R58" s="17"/>
      <c r="S58" s="61"/>
      <c r="T58" s="17"/>
    </row>
    <row r="59" spans="2:20" ht="18.75" x14ac:dyDescent="0.3">
      <c r="B59" s="17"/>
      <c r="C59" s="1049"/>
      <c r="D59" s="17"/>
      <c r="E59" s="17"/>
      <c r="F59" s="17"/>
      <c r="G59" s="541" t="str">
        <f ca="1">VLOOKUP(RIGHT(G55,1)&amp;"4",$X$67:$Z$98,2)</f>
        <v>Frankrijk</v>
      </c>
      <c r="H59" s="541"/>
      <c r="I59" s="541"/>
      <c r="J59" s="541" t="str">
        <f ca="1">VLOOKUP(RIGHT(J55,1)&amp;"4",$X$67:$Z$98,2)</f>
        <v>Oekraïne</v>
      </c>
      <c r="K59" s="541"/>
      <c r="L59" s="541"/>
      <c r="M59" s="541" t="str">
        <f ca="1">VLOOKUP(RIGHT(M55,1)&amp;"4",$X$67:$Z$98,2)</f>
        <v>Tsjechië</v>
      </c>
      <c r="N59" s="541"/>
      <c r="O59" s="541"/>
      <c r="P59" s="544" t="str">
        <f ca="1">VLOOKUP(RIGHT(P55,1)&amp;"4",$X$67:$Z$98,2)</f>
        <v>ZZZ_land_H4</v>
      </c>
      <c r="Q59" s="78"/>
      <c r="R59" s="17"/>
      <c r="S59" s="61"/>
      <c r="T59" s="17"/>
    </row>
    <row r="60" spans="2:20" ht="18.75" x14ac:dyDescent="0.3">
      <c r="B60" s="17"/>
      <c r="C60" s="1050"/>
      <c r="D60" s="108"/>
      <c r="E60" s="108"/>
      <c r="F60" s="108"/>
      <c r="G60" s="96"/>
      <c r="H60" s="96"/>
      <c r="I60" s="96"/>
      <c r="J60" s="96"/>
      <c r="K60" s="96"/>
      <c r="L60" s="96"/>
      <c r="M60" s="108"/>
      <c r="N60" s="96"/>
      <c r="O60" s="108"/>
      <c r="P60" s="108"/>
      <c r="Q60" s="108"/>
      <c r="R60" s="108"/>
      <c r="S60" s="10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1075"/>
      <c r="D62" s="1076" t="str">
        <f>Reglement!D71&amp;IF(AND(OR(S65="a",S65="b",S65="c"),ISNUMBER(P67)),"   ("&amp;P67&amp;" "&amp;LOWER(Taal01!$B$33)&amp;")","")</f>
        <v>www.excel-pool.nl</v>
      </c>
      <c r="E62" s="1077"/>
      <c r="F62" s="1077"/>
      <c r="G62" s="1077"/>
      <c r="H62" s="1077"/>
      <c r="I62" s="1077"/>
      <c r="J62" s="1077"/>
      <c r="K62" s="1077"/>
      <c r="L62" s="1077"/>
      <c r="M62" s="1077"/>
      <c r="N62" s="1077"/>
      <c r="O62" s="1077"/>
      <c r="P62" s="1077"/>
      <c r="Q62" s="1077"/>
      <c r="R62" s="1078" t="str">
        <f>Reglement!M71</f>
        <v>©2024 Eric de Jong v24.00hd</v>
      </c>
      <c r="S62" s="1079"/>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22" t="s">
        <v>259</v>
      </c>
      <c r="C65" s="37"/>
      <c r="D65" s="37"/>
      <c r="E65" s="37"/>
      <c r="F65" s="37"/>
      <c r="G65" s="223" t="s">
        <v>16</v>
      </c>
      <c r="H65" s="904" t="s">
        <v>2551</v>
      </c>
      <c r="I65" s="1162" t="s">
        <v>2552</v>
      </c>
      <c r="J65" s="1162"/>
      <c r="K65" s="37"/>
      <c r="L65" s="37"/>
      <c r="M65" s="37"/>
      <c r="N65" s="37"/>
      <c r="O65" s="224" t="s">
        <v>98</v>
      </c>
      <c r="P65" s="225" t="str">
        <f>IF(LEN(S65)=2,LEFT(RIGHT(R62,7),5),LEFT(RIGHT(R62,6),5))</f>
        <v>24.00</v>
      </c>
      <c r="Q65" s="23"/>
      <c r="R65" s="224" t="s">
        <v>92</v>
      </c>
      <c r="S65" s="226" t="str">
        <f>IF(TYPE(LEFT(RIGHT(R62,2),1)*1)=1,RIGHT(R62,1),RIGHT(R62,2))</f>
        <v>hd</v>
      </c>
      <c r="T65" s="37"/>
      <c r="U65" s="50"/>
      <c r="V65" s="50"/>
      <c r="W65" s="50"/>
      <c r="X65" s="654" t="s">
        <v>64</v>
      </c>
      <c r="Y65" s="632" t="s">
        <v>142</v>
      </c>
      <c r="Z65" s="632" t="s">
        <v>143</v>
      </c>
      <c r="AA65" s="636" t="str">
        <f>X65</f>
        <v>CODE</v>
      </c>
      <c r="AB65" s="376" t="str">
        <f t="shared" ref="AB65:AF65" si="0">Y65</f>
        <v>LAND</v>
      </c>
      <c r="AC65" s="634" t="str">
        <f t="shared" si="0"/>
        <v>AFKORTING</v>
      </c>
      <c r="AD65" s="274" t="str">
        <f t="shared" si="0"/>
        <v>CODE</v>
      </c>
      <c r="AE65" s="274" t="str">
        <f t="shared" si="0"/>
        <v>LAND</v>
      </c>
      <c r="AF65" s="376" t="str">
        <f t="shared" si="0"/>
        <v>AFKORTING</v>
      </c>
      <c r="AG65" s="274" t="str">
        <f>Y65</f>
        <v>LAND</v>
      </c>
    </row>
    <row r="66" spans="2:33" hidden="1" x14ac:dyDescent="0.25">
      <c r="B66" s="222" t="s">
        <v>260</v>
      </c>
      <c r="C66" s="37"/>
      <c r="D66" s="37"/>
      <c r="E66" s="37"/>
      <c r="F66" s="37"/>
      <c r="G66" s="223" t="s">
        <v>16</v>
      </c>
      <c r="H66" s="225" t="s">
        <v>419</v>
      </c>
      <c r="I66" s="655" t="s">
        <v>418</v>
      </c>
      <c r="J66" s="37"/>
      <c r="K66" s="37"/>
      <c r="L66" s="37"/>
      <c r="M66" s="37"/>
      <c r="N66" s="37"/>
      <c r="O66" s="224" t="s">
        <v>105</v>
      </c>
      <c r="P66" s="37" t="str">
        <f>IF(Reglement!Q81=1,"JA","NEE")</f>
        <v>JA</v>
      </c>
      <c r="Q66" s="37"/>
      <c r="R66" s="224"/>
      <c r="S66" s="226"/>
      <c r="T66" s="37"/>
      <c r="U66" s="50"/>
      <c r="V66" s="616"/>
      <c r="W66" s="617">
        <f>LOOKUP(W7,W67:W76,V67:V76)</f>
        <v>1</v>
      </c>
      <c r="X66" s="654"/>
      <c r="Y66" s="632"/>
      <c r="Z66" s="632"/>
      <c r="AA66" s="637"/>
      <c r="AB66" s="376"/>
      <c r="AC66" s="635"/>
      <c r="AD66" s="50"/>
      <c r="AE66" s="275"/>
      <c r="AF66" s="376"/>
      <c r="AG66" s="275"/>
    </row>
    <row r="67" spans="2:33" hidden="1" x14ac:dyDescent="0.25">
      <c r="B67" s="222" t="s">
        <v>261</v>
      </c>
      <c r="C67" s="37"/>
      <c r="D67" s="37"/>
      <c r="E67" s="37"/>
      <c r="F67" s="37"/>
      <c r="G67" s="223" t="s">
        <v>16</v>
      </c>
      <c r="H67" s="227"/>
      <c r="I67" s="37"/>
      <c r="J67" s="37"/>
      <c r="K67" s="37"/>
      <c r="L67" s="37"/>
      <c r="M67" s="37"/>
      <c r="N67" s="37"/>
      <c r="O67" s="224" t="s">
        <v>102</v>
      </c>
      <c r="P67" s="458" t="s">
        <v>490</v>
      </c>
      <c r="Q67" s="37"/>
      <c r="R67" s="37"/>
      <c r="S67" s="37"/>
      <c r="T67" s="37"/>
      <c r="U67" s="50"/>
      <c r="V67" s="615">
        <v>1</v>
      </c>
      <c r="W67" s="615" t="str">
        <f>Taal01!B62</f>
        <v>Dutch</v>
      </c>
      <c r="X67" s="654" t="s">
        <v>110</v>
      </c>
      <c r="Y67" s="632" t="str">
        <f ca="1">Taal02!$B$7</f>
        <v>Duitsland</v>
      </c>
      <c r="Z67" s="632" t="s">
        <v>6</v>
      </c>
      <c r="AA67" s="637" t="str">
        <f ca="1">RIGHT(LEFT(Taal02!$B$48,(ROW()-66)*2),2)</f>
        <v>B4</v>
      </c>
      <c r="AB67" s="376" t="str">
        <f t="shared" ref="AB67:AB98" ca="1" si="1">VLOOKUP($AA67,$X$67:$Z$98,2)</f>
        <v>Albanië</v>
      </c>
      <c r="AC67" s="635" t="str">
        <f ca="1">VLOOKUP($AA67,$X$67:$Z$98,3)</f>
        <v>AL</v>
      </c>
      <c r="AD67" s="275" t="s">
        <v>117</v>
      </c>
      <c r="AE67" s="275" t="str">
        <f t="shared" ref="AE67:AE98" ca="1" si="2">VLOOKUP($AD67,$X$67:$Z$98,2)</f>
        <v>Albanië</v>
      </c>
      <c r="AF67" s="376" t="str">
        <f>VLOOKUP($AD67,$X$67:$Z$98,3)</f>
        <v>AL</v>
      </c>
      <c r="AG67" s="275" t="str">
        <f ca="1">AE67</f>
        <v>Albanië</v>
      </c>
    </row>
    <row r="68" spans="2:33" hidden="1" x14ac:dyDescent="0.25">
      <c r="B68" s="37"/>
      <c r="C68" s="37"/>
      <c r="D68" s="37"/>
      <c r="E68" s="37"/>
      <c r="F68" s="37"/>
      <c r="G68" s="37"/>
      <c r="H68" s="629" t="s">
        <v>909</v>
      </c>
      <c r="I68" s="37"/>
      <c r="J68" s="37"/>
      <c r="K68" s="37"/>
      <c r="L68" s="37"/>
      <c r="M68" s="37"/>
      <c r="N68" s="37"/>
      <c r="O68" s="224" t="s">
        <v>492</v>
      </c>
      <c r="P68" s="378" t="str">
        <f>IF(ISNUMBER($P$67),FLOOR(($P$67-1)/10,1),"nvt")</f>
        <v>nvt</v>
      </c>
      <c r="Q68" s="37"/>
      <c r="R68" s="37"/>
      <c r="S68" s="37"/>
      <c r="T68" s="37"/>
      <c r="U68" s="50"/>
      <c r="V68" s="615">
        <v>2</v>
      </c>
      <c r="W68" s="615" t="str">
        <f>Taal01!B63</f>
        <v>English</v>
      </c>
      <c r="X68" s="654" t="s">
        <v>111</v>
      </c>
      <c r="Y68" s="632" t="str">
        <f ca="1">Taal02!$B$8</f>
        <v>Schotland</v>
      </c>
      <c r="Z68" s="632" t="s">
        <v>2462</v>
      </c>
      <c r="AA68" s="637" t="str">
        <f ca="1">RIGHT(LEFT(Taal02!$B$48,(ROW()-66)*2),2)</f>
        <v>E1</v>
      </c>
      <c r="AB68" s="376" t="str">
        <f t="shared" ca="1" si="1"/>
        <v>België</v>
      </c>
      <c r="AC68" s="635" t="str">
        <f t="shared" ref="AC68:AC98" ca="1" si="3">VLOOKUP($AA68,$X$67:$Z$98,3)</f>
        <v>BE</v>
      </c>
      <c r="AD68" s="275" t="s">
        <v>123</v>
      </c>
      <c r="AE68" s="275" t="str">
        <f t="shared" ca="1" si="2"/>
        <v>Oostenrijk</v>
      </c>
      <c r="AF68" s="376" t="str">
        <f t="shared" ref="AF68:AF98" si="4">VLOOKUP($AD68,$X$67:$Z$98,3)</f>
        <v>AT</v>
      </c>
      <c r="AG68" s="275" t="str">
        <f t="shared" ref="AG68:AG98" ca="1" si="5">AE68</f>
        <v>Oostenrijk</v>
      </c>
    </row>
    <row r="69" spans="2:33" hidden="1" x14ac:dyDescent="0.25">
      <c r="B69" s="222" t="s">
        <v>417</v>
      </c>
      <c r="C69" s="37"/>
      <c r="D69" s="37"/>
      <c r="E69" s="37"/>
      <c r="F69" s="37"/>
      <c r="G69" s="223" t="s">
        <v>16</v>
      </c>
      <c r="H69" s="378" t="str">
        <f>IF(OR($S$65="a",$S$65="b",$S$65="c"),IF(AND($P$66="JA",Reglement!N81=0),"NEE","JA"),"n.v.t.")</f>
        <v>n.v.t.</v>
      </c>
      <c r="I69" s="37"/>
      <c r="J69" s="37"/>
      <c r="K69" s="37"/>
      <c r="L69" s="37"/>
      <c r="M69" s="37"/>
      <c r="N69" s="37"/>
      <c r="O69" s="224" t="s">
        <v>491</v>
      </c>
      <c r="P69" s="378" t="str">
        <f>IF(ISNUMBER($P$67),41,"nvt")</f>
        <v>nvt</v>
      </c>
      <c r="Q69" s="37"/>
      <c r="R69" s="37"/>
      <c r="S69" s="37"/>
      <c r="T69" s="37"/>
      <c r="U69" s="50"/>
      <c r="V69" s="615">
        <v>3</v>
      </c>
      <c r="W69" s="615" t="str">
        <f>Taal01!B64</f>
        <v>German (under development)</v>
      </c>
      <c r="X69" s="654" t="s">
        <v>112</v>
      </c>
      <c r="Y69" s="632" t="str">
        <f ca="1">Taal02!$B$9</f>
        <v>Hongarije</v>
      </c>
      <c r="Z69" s="632" t="s">
        <v>2463</v>
      </c>
      <c r="AA69" s="637" t="str">
        <f ca="1">RIGHT(LEFT(Taal02!$B$48,(ROW()-66)*2),2)</f>
        <v>C2</v>
      </c>
      <c r="AB69" s="376" t="str">
        <f t="shared" ca="1" si="1"/>
        <v>Denemarken</v>
      </c>
      <c r="AC69" s="635" t="str">
        <f t="shared" ca="1" si="3"/>
        <v>DK</v>
      </c>
      <c r="AD69" s="275" t="s">
        <v>125</v>
      </c>
      <c r="AE69" s="275" t="str">
        <f t="shared" ca="1" si="2"/>
        <v>België</v>
      </c>
      <c r="AF69" s="376" t="str">
        <f t="shared" si="4"/>
        <v>BE</v>
      </c>
      <c r="AG69" s="275" t="str">
        <f t="shared" ca="1" si="5"/>
        <v>België</v>
      </c>
    </row>
    <row r="70" spans="2:33" hidden="1" x14ac:dyDescent="0.25">
      <c r="B70" s="222" t="s">
        <v>256</v>
      </c>
      <c r="C70" s="37"/>
      <c r="D70" s="37"/>
      <c r="E70" s="37"/>
      <c r="F70" s="37"/>
      <c r="G70" s="223" t="s">
        <v>16</v>
      </c>
      <c r="H70" s="37" t="str">
        <f>IF(OR($S$65="a",$S$65="b",$S$65="c"),IF(AND($P$66="JA",Reglement!G123="##"),"NEE","JA"),"n.v.t.")</f>
        <v>n.v.t.</v>
      </c>
      <c r="I70" s="37"/>
      <c r="J70" s="37"/>
      <c r="K70" s="37"/>
      <c r="L70" s="37"/>
      <c r="M70" s="37"/>
      <c r="N70" s="37"/>
      <c r="O70" s="224" t="s">
        <v>493</v>
      </c>
      <c r="P70" s="378" t="str">
        <f>IF(ISNUMBER($P$67),$P$67+$P$68+$P$69-1,"nvt")</f>
        <v>nvt</v>
      </c>
      <c r="Q70" s="37"/>
      <c r="R70" s="37"/>
      <c r="S70" s="37"/>
      <c r="T70" s="37"/>
      <c r="U70" s="50"/>
      <c r="V70" s="615">
        <v>4</v>
      </c>
      <c r="W70" s="615" t="str">
        <f>Taal01!B65</f>
        <v>Swedish (under development)</v>
      </c>
      <c r="X70" s="654" t="s">
        <v>113</v>
      </c>
      <c r="Y70" s="632" t="str">
        <f ca="1">Taal02!$B$10</f>
        <v>Zwitserland</v>
      </c>
      <c r="Z70" s="632" t="s">
        <v>532</v>
      </c>
      <c r="AA70" s="637" t="str">
        <f ca="1">RIGHT(LEFT(Taal02!$B$48,(ROW()-66)*2),2)</f>
        <v>A1</v>
      </c>
      <c r="AB70" s="376" t="str">
        <f t="shared" ca="1" si="1"/>
        <v>Duitsland</v>
      </c>
      <c r="AC70" s="635" t="str">
        <f t="shared" ca="1" si="3"/>
        <v>DE</v>
      </c>
      <c r="AD70" s="275" t="s">
        <v>113</v>
      </c>
      <c r="AE70" s="275" t="str">
        <f t="shared" ca="1" si="2"/>
        <v>Zwitserland</v>
      </c>
      <c r="AF70" s="376" t="str">
        <f t="shared" si="4"/>
        <v>CH</v>
      </c>
      <c r="AG70" s="275" t="str">
        <f t="shared" ca="1" si="5"/>
        <v>Zwitserland</v>
      </c>
    </row>
    <row r="71" spans="2:33" hidden="1" x14ac:dyDescent="0.25">
      <c r="B71" s="222" t="s">
        <v>100</v>
      </c>
      <c r="C71" s="37"/>
      <c r="D71" s="37"/>
      <c r="E71" s="37"/>
      <c r="F71" s="37"/>
      <c r="G71" s="223" t="s">
        <v>16</v>
      </c>
      <c r="H71" s="37" t="str">
        <f>IF(OR($S$65="a",$S$65="b",$S$65="c"),IF(AND($P$66="JA",Reglement!S87="NEE"),"NEE","JA"),"n.v.t.")</f>
        <v>n.v.t.</v>
      </c>
      <c r="I71" s="37"/>
      <c r="J71" s="37"/>
      <c r="K71" s="37"/>
      <c r="L71" s="37"/>
      <c r="M71" s="37"/>
      <c r="N71" s="37"/>
      <c r="O71" s="224" t="s">
        <v>489</v>
      </c>
      <c r="P71" s="378" t="str">
        <f>IF(ISNUMBER($P$67),$P$70+IF(RIGHT(P67,1)*1=0,4,3),"nvt")</f>
        <v>nvt</v>
      </c>
      <c r="Q71" s="37"/>
      <c r="R71" s="37"/>
      <c r="S71" s="37"/>
      <c r="T71" s="37"/>
      <c r="U71" s="50"/>
      <c r="V71" s="615">
        <v>5</v>
      </c>
      <c r="W71" s="615"/>
      <c r="X71" s="654" t="s">
        <v>114</v>
      </c>
      <c r="Y71" s="632" t="str">
        <f ca="1">Taal02!$B$12</f>
        <v>Spanje</v>
      </c>
      <c r="Z71" s="632" t="s">
        <v>530</v>
      </c>
      <c r="AA71" s="637" t="str">
        <f ca="1">RIGHT(LEFT(Taal02!$B$48,(ROW()-66)*2),2)</f>
        <v>C4</v>
      </c>
      <c r="AB71" s="376" t="str">
        <f t="shared" ca="1" si="1"/>
        <v>Engeland</v>
      </c>
      <c r="AC71" s="635" t="str">
        <f t="shared" ca="1" si="3"/>
        <v>GB</v>
      </c>
      <c r="AD71" s="275" t="s">
        <v>133</v>
      </c>
      <c r="AE71" s="275" t="str">
        <f t="shared" ca="1" si="2"/>
        <v>Tsjechië</v>
      </c>
      <c r="AF71" s="376" t="str">
        <f t="shared" si="4"/>
        <v>CZ</v>
      </c>
      <c r="AG71" s="275" t="str">
        <f t="shared" ca="1" si="5"/>
        <v>Tsjechië</v>
      </c>
    </row>
    <row r="72" spans="2:33" hidden="1" x14ac:dyDescent="0.25">
      <c r="B72" s="37"/>
      <c r="C72" s="37"/>
      <c r="D72" s="37"/>
      <c r="E72" s="37"/>
      <c r="F72" s="37"/>
      <c r="G72" s="37"/>
      <c r="H72" s="37"/>
      <c r="I72" s="37"/>
      <c r="J72" s="37"/>
      <c r="K72" s="37"/>
      <c r="L72" s="37"/>
      <c r="M72" s="37"/>
      <c r="N72" s="37"/>
      <c r="O72" s="224" t="s">
        <v>931</v>
      </c>
      <c r="P72" s="643">
        <f>Reglement!$G$140</f>
        <v>2</v>
      </c>
      <c r="Q72" s="1164" t="str">
        <f>IF(P72=0,Taal01!B17,IF(P72=1,Taal01!B18,IF(P72=3,Taal01!B19,"")))</f>
        <v/>
      </c>
      <c r="R72" s="1164"/>
      <c r="S72" s="1164"/>
      <c r="T72" s="1164"/>
      <c r="U72" s="50"/>
      <c r="V72" s="615">
        <v>6</v>
      </c>
      <c r="W72" s="615"/>
      <c r="X72" s="654" t="s">
        <v>115</v>
      </c>
      <c r="Y72" s="632" t="str">
        <f ca="1">Taal02!$B$13</f>
        <v>Kroatië</v>
      </c>
      <c r="Z72" s="632" t="s">
        <v>529</v>
      </c>
      <c r="AA72" s="637" t="str">
        <f ca="1">RIGHT(LEFT(Taal02!$B$48,(ROW()-66)*2),2)</f>
        <v>D4</v>
      </c>
      <c r="AB72" s="376" t="str">
        <f t="shared" ca="1" si="1"/>
        <v>Frankrijk</v>
      </c>
      <c r="AC72" s="635" t="str">
        <f t="shared" ca="1" si="3"/>
        <v>FR</v>
      </c>
      <c r="AD72" s="275" t="s">
        <v>110</v>
      </c>
      <c r="AE72" s="275" t="str">
        <f t="shared" ca="1" si="2"/>
        <v>Duitsland</v>
      </c>
      <c r="AF72" s="376" t="str">
        <f t="shared" si="4"/>
        <v>DE</v>
      </c>
      <c r="AG72" s="275" t="str">
        <f t="shared" ca="1" si="5"/>
        <v>Duitsland</v>
      </c>
    </row>
    <row r="73" spans="2:33" hidden="1" x14ac:dyDescent="0.25">
      <c r="B73" s="1105" t="s">
        <v>2558</v>
      </c>
      <c r="C73" s="228"/>
      <c r="D73" s="228"/>
      <c r="E73" s="228"/>
      <c r="F73" s="228"/>
      <c r="G73" s="228"/>
      <c r="H73" s="228"/>
      <c r="I73" s="1106"/>
      <c r="J73" s="1165">
        <v>0</v>
      </c>
      <c r="K73" s="1166"/>
      <c r="L73" s="228"/>
      <c r="M73" s="228"/>
      <c r="N73" s="228"/>
      <c r="O73" s="228"/>
      <c r="P73" s="228"/>
      <c r="Q73" s="228"/>
      <c r="R73" s="228"/>
      <c r="S73" s="228"/>
      <c r="T73" s="228"/>
      <c r="U73" s="50"/>
      <c r="V73" s="615">
        <v>7</v>
      </c>
      <c r="W73" s="615"/>
      <c r="X73" s="654" t="s">
        <v>116</v>
      </c>
      <c r="Y73" s="632" t="str">
        <f ca="1">Taal02!$B$14</f>
        <v>Italië</v>
      </c>
      <c r="Z73" s="632" t="s">
        <v>2464</v>
      </c>
      <c r="AA73" s="637" t="str">
        <f ca="1">RIGHT(LEFT(Taal02!$B$48,(ROW()-66)*2),2)</f>
        <v>F2</v>
      </c>
      <c r="AB73" s="376" t="str">
        <f t="shared" ca="1" si="1"/>
        <v>Georgië</v>
      </c>
      <c r="AC73" s="635" t="str">
        <f t="shared" ca="1" si="3"/>
        <v>GE</v>
      </c>
      <c r="AD73" s="275" t="s">
        <v>119</v>
      </c>
      <c r="AE73" s="275" t="str">
        <f t="shared" ca="1" si="2"/>
        <v>Denemarken</v>
      </c>
      <c r="AF73" s="376" t="str">
        <f t="shared" si="4"/>
        <v>DK</v>
      </c>
      <c r="AG73" s="275" t="str">
        <f t="shared" ca="1" si="5"/>
        <v>Denemarken</v>
      </c>
    </row>
    <row r="74" spans="2:33" hidden="1" x14ac:dyDescent="0.25">
      <c r="B74" s="1107" t="s">
        <v>2559</v>
      </c>
      <c r="C74" s="229"/>
      <c r="D74" s="229"/>
      <c r="E74" s="229"/>
      <c r="F74" s="229"/>
      <c r="G74" s="229"/>
      <c r="H74" s="229"/>
      <c r="I74" s="229"/>
      <c r="J74" s="1167" t="s">
        <v>2560</v>
      </c>
      <c r="K74" s="1167"/>
      <c r="L74" s="229"/>
      <c r="M74" s="229"/>
      <c r="N74" s="229"/>
      <c r="O74" s="229"/>
      <c r="P74" s="229"/>
      <c r="Q74" s="229"/>
      <c r="R74" s="229"/>
      <c r="S74" s="229"/>
      <c r="T74" s="229"/>
      <c r="U74" s="50"/>
      <c r="V74" s="615">
        <v>8</v>
      </c>
      <c r="W74" s="615"/>
      <c r="X74" s="654" t="s">
        <v>117</v>
      </c>
      <c r="Y74" s="632" t="str">
        <f ca="1">Taal02!$B$15</f>
        <v>Albanië</v>
      </c>
      <c r="Z74" s="632" t="s">
        <v>2465</v>
      </c>
      <c r="AA74" s="637" t="str">
        <f ca="1">RIGHT(LEFT(Taal02!$B$48,(ROW()-66)*2),2)</f>
        <v>A3</v>
      </c>
      <c r="AB74" s="376" t="str">
        <f t="shared" ca="1" si="1"/>
        <v>Hongarije</v>
      </c>
      <c r="AC74" s="635" t="str">
        <f t="shared" ca="1" si="3"/>
        <v>HU</v>
      </c>
      <c r="AD74" s="275" t="s">
        <v>114</v>
      </c>
      <c r="AE74" s="275" t="str">
        <f t="shared" ca="1" si="2"/>
        <v>Spanje</v>
      </c>
      <c r="AF74" s="376" t="str">
        <f t="shared" si="4"/>
        <v>ES</v>
      </c>
      <c r="AG74" s="275" t="str">
        <f t="shared" ca="1" si="5"/>
        <v>Spanje</v>
      </c>
    </row>
    <row r="75" spans="2:33" hidden="1" x14ac:dyDescent="0.25">
      <c r="B75" s="230"/>
      <c r="C75" s="230"/>
      <c r="D75" s="230"/>
      <c r="E75" s="230"/>
      <c r="F75" s="230"/>
      <c r="G75" s="230"/>
      <c r="H75" s="230"/>
      <c r="I75" s="230"/>
      <c r="J75" s="230"/>
      <c r="K75" s="230"/>
      <c r="L75" s="230"/>
      <c r="M75" s="230"/>
      <c r="N75" s="230"/>
      <c r="O75" s="230"/>
      <c r="P75" s="230"/>
      <c r="Q75" s="230"/>
      <c r="R75" s="230"/>
      <c r="S75" s="230"/>
      <c r="T75" s="230"/>
      <c r="U75" s="50"/>
      <c r="V75" s="615">
        <v>9</v>
      </c>
      <c r="W75" s="615"/>
      <c r="X75" s="654" t="s">
        <v>118</v>
      </c>
      <c r="Y75" s="632" t="str">
        <f ca="1">Taal02!$B$17</f>
        <v>Slovenië</v>
      </c>
      <c r="Z75" s="632" t="s">
        <v>2466</v>
      </c>
      <c r="AA75" s="637" t="str">
        <f ca="1">RIGHT(LEFT(Taal02!$B$48,(ROW()-66)*2),2)</f>
        <v>B3</v>
      </c>
      <c r="AB75" s="376" t="str">
        <f t="shared" ca="1" si="1"/>
        <v>Italië</v>
      </c>
      <c r="AC75" s="635" t="str">
        <f t="shared" ca="1" si="3"/>
        <v>IT</v>
      </c>
      <c r="AD75" s="275" t="s">
        <v>124</v>
      </c>
      <c r="AE75" s="275" t="str">
        <f t="shared" ca="1" si="2"/>
        <v>Frankrijk</v>
      </c>
      <c r="AF75" s="376" t="str">
        <f t="shared" si="4"/>
        <v>FR</v>
      </c>
      <c r="AG75" s="275" t="str">
        <f t="shared" ca="1" si="5"/>
        <v>Frankrijk</v>
      </c>
    </row>
    <row r="76" spans="2:33" hidden="1" x14ac:dyDescent="0.25">
      <c r="B76" s="231"/>
      <c r="C76" s="231"/>
      <c r="D76" s="231"/>
      <c r="E76" s="231"/>
      <c r="F76" s="231"/>
      <c r="G76" s="231"/>
      <c r="H76" s="231"/>
      <c r="I76" s="231"/>
      <c r="J76" s="231"/>
      <c r="K76" s="231"/>
      <c r="L76" s="231"/>
      <c r="M76" s="231"/>
      <c r="N76" s="231"/>
      <c r="O76" s="231"/>
      <c r="P76" s="231"/>
      <c r="Q76" s="231"/>
      <c r="R76" s="231"/>
      <c r="S76" s="231"/>
      <c r="T76" s="231"/>
      <c r="U76" s="50"/>
      <c r="V76" s="615">
        <v>10</v>
      </c>
      <c r="W76" s="615"/>
      <c r="X76" s="654" t="s">
        <v>119</v>
      </c>
      <c r="Y76" s="632" t="str">
        <f ca="1">Taal02!$B$18</f>
        <v>Denemarken</v>
      </c>
      <c r="Z76" s="632" t="s">
        <v>528</v>
      </c>
      <c r="AA76" s="637" t="str">
        <f ca="1">RIGHT(LEFT(Taal02!$B$48,(ROW()-66)*2),2)</f>
        <v>B2</v>
      </c>
      <c r="AB76" s="376" t="str">
        <f t="shared" ca="1" si="1"/>
        <v>Kroatië</v>
      </c>
      <c r="AC76" s="635" t="str">
        <f t="shared" ca="1" si="3"/>
        <v>HR</v>
      </c>
      <c r="AD76" s="275" t="s">
        <v>129</v>
      </c>
      <c r="AE76" s="275" t="str">
        <f t="shared" ca="1" si="2"/>
        <v>Engeland</v>
      </c>
      <c r="AF76" s="376"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50"/>
      <c r="V77" s="50"/>
      <c r="W77" s="50"/>
      <c r="X77" s="654" t="s">
        <v>120</v>
      </c>
      <c r="Y77" s="632" t="str">
        <f ca="1">Taal02!$B$19</f>
        <v>Servië</v>
      </c>
      <c r="Z77" s="632" t="s">
        <v>1952</v>
      </c>
      <c r="AA77" s="637" t="str">
        <f ca="1">RIGHT(LEFT(Taal02!$B$48,(ROW()-66)*2),2)</f>
        <v>D2</v>
      </c>
      <c r="AB77" s="376" t="str">
        <f t="shared" ca="1" si="1"/>
        <v>Nederland</v>
      </c>
      <c r="AC77" s="635" t="str">
        <f t="shared" ca="1" si="3"/>
        <v>NL</v>
      </c>
      <c r="AD77" s="275" t="s">
        <v>131</v>
      </c>
      <c r="AE77" s="275" t="str">
        <f t="shared" ca="1" si="2"/>
        <v>Georgië</v>
      </c>
      <c r="AF77" s="376"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50"/>
      <c r="V78" s="50"/>
      <c r="W78" s="50"/>
      <c r="X78" s="654" t="s">
        <v>129</v>
      </c>
      <c r="Y78" s="632" t="str">
        <f ca="1">Taal02!$B$20</f>
        <v>Engeland</v>
      </c>
      <c r="Z78" s="632" t="s">
        <v>531</v>
      </c>
      <c r="AA78" s="637" t="str">
        <f ca="1">RIGHT(LEFT(Taal02!$B$48,(ROW()-66)*2),2)</f>
        <v>E4</v>
      </c>
      <c r="AB78" s="376" t="str">
        <f t="shared" ca="1" si="1"/>
        <v>Oekraïne</v>
      </c>
      <c r="AC78" s="635" t="str">
        <f t="shared" ca="1" si="3"/>
        <v>UA</v>
      </c>
      <c r="AD78" s="275" t="s">
        <v>115</v>
      </c>
      <c r="AE78" s="275" t="str">
        <f t="shared" ca="1" si="2"/>
        <v>Kroatië</v>
      </c>
      <c r="AF78" s="376"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50"/>
      <c r="V79" s="50"/>
      <c r="W79" s="50"/>
      <c r="X79" s="654" t="s">
        <v>121</v>
      </c>
      <c r="Y79" s="632" t="str">
        <f ca="1">Taal02!$B$22</f>
        <v>Polen</v>
      </c>
      <c r="Z79" s="632" t="s">
        <v>2570</v>
      </c>
      <c r="AA79" s="637" t="str">
        <f ca="1">RIGHT(LEFT(Taal02!$B$48,(ROW()-66)*2),2)</f>
        <v>D3</v>
      </c>
      <c r="AB79" s="376" t="str">
        <f t="shared" ca="1" si="1"/>
        <v>Oostenrijk</v>
      </c>
      <c r="AC79" s="635" t="str">
        <f t="shared" ca="1" si="3"/>
        <v>AT</v>
      </c>
      <c r="AD79" s="275" t="s">
        <v>112</v>
      </c>
      <c r="AE79" s="275" t="str">
        <f t="shared" ca="1" si="2"/>
        <v>Hongarije</v>
      </c>
      <c r="AF79" s="376"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50"/>
      <c r="V80" s="50"/>
      <c r="W80" s="50"/>
      <c r="X80" s="654" t="s">
        <v>122</v>
      </c>
      <c r="Y80" s="632" t="str">
        <f ca="1">Taal02!$B$23</f>
        <v>Nederland</v>
      </c>
      <c r="Z80" s="632" t="s">
        <v>917</v>
      </c>
      <c r="AA80" s="637" t="str">
        <f ca="1">RIGHT(LEFT(Taal02!$B$48,(ROW()-66)*2),2)</f>
        <v>D1</v>
      </c>
      <c r="AB80" s="376" t="str">
        <f t="shared" ca="1" si="1"/>
        <v>Polen</v>
      </c>
      <c r="AC80" s="635" t="str">
        <f t="shared" ca="1" si="3"/>
        <v>PL</v>
      </c>
      <c r="AD80" s="275" t="s">
        <v>116</v>
      </c>
      <c r="AE80" s="275" t="str">
        <f t="shared" ca="1" si="2"/>
        <v>Italië</v>
      </c>
      <c r="AF80" s="376"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50"/>
      <c r="V81" s="50"/>
      <c r="W81" s="50"/>
      <c r="X81" s="654" t="s">
        <v>123</v>
      </c>
      <c r="Y81" s="632" t="str">
        <f ca="1">Taal02!$B$24</f>
        <v>Oostenrijk</v>
      </c>
      <c r="Z81" s="632" t="s">
        <v>2468</v>
      </c>
      <c r="AA81" s="637" t="str">
        <f ca="1">RIGHT(LEFT(Taal02!$B$48,(ROW()-66)*2),2)</f>
        <v>F3</v>
      </c>
      <c r="AB81" s="376" t="str">
        <f t="shared" ca="1" si="1"/>
        <v>Portugal</v>
      </c>
      <c r="AC81" s="635" t="str">
        <f t="shared" ca="1" si="3"/>
        <v>PT</v>
      </c>
      <c r="AD81" s="275" t="s">
        <v>122</v>
      </c>
      <c r="AE81" s="275" t="str">
        <f t="shared" ca="1" si="2"/>
        <v>Nederland</v>
      </c>
      <c r="AF81" s="376"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50"/>
      <c r="V82" s="50"/>
      <c r="W82" s="50"/>
      <c r="X82" s="654" t="s">
        <v>124</v>
      </c>
      <c r="Y82" s="632" t="str">
        <f ca="1">Taal02!$B$25</f>
        <v>Frankrijk</v>
      </c>
      <c r="Z82" s="632" t="s">
        <v>526</v>
      </c>
      <c r="AA82" s="637" t="str">
        <f ca="1">RIGHT(LEFT(Taal02!$B$48,(ROW()-66)*2),2)</f>
        <v>E3</v>
      </c>
      <c r="AB82" s="376" t="str">
        <f t="shared" ca="1" si="1"/>
        <v>Roemenië</v>
      </c>
      <c r="AC82" s="635" t="str">
        <f t="shared" ca="1" si="3"/>
        <v>RO</v>
      </c>
      <c r="AD82" s="275" t="s">
        <v>121</v>
      </c>
      <c r="AE82" s="275" t="str">
        <f t="shared" ca="1" si="2"/>
        <v>Polen</v>
      </c>
      <c r="AF82" s="376"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50"/>
      <c r="V83" s="50"/>
      <c r="W83" s="50"/>
      <c r="X83" s="654" t="s">
        <v>125</v>
      </c>
      <c r="Y83" s="632" t="str">
        <f ca="1">Taal02!$B$27</f>
        <v>België</v>
      </c>
      <c r="Z83" s="632" t="s">
        <v>523</v>
      </c>
      <c r="AA83" s="637" t="str">
        <f ca="1">RIGHT(LEFT(Taal02!$B$48,(ROW()-66)*2),2)</f>
        <v>A2</v>
      </c>
      <c r="AB83" s="376" t="str">
        <f t="shared" ca="1" si="1"/>
        <v>Schotland</v>
      </c>
      <c r="AC83" s="635" t="str">
        <f t="shared" ca="1" si="3"/>
        <v>SC</v>
      </c>
      <c r="AD83" s="275" t="s">
        <v>132</v>
      </c>
      <c r="AE83" s="275" t="str">
        <f t="shared" ca="1" si="2"/>
        <v>Portugal</v>
      </c>
      <c r="AF83" s="376" t="str">
        <f t="shared" si="4"/>
        <v>PT</v>
      </c>
      <c r="AG83" s="275" t="str">
        <f t="shared" ca="1" si="5"/>
        <v>Portugal</v>
      </c>
    </row>
    <row r="84" spans="2:33" hidden="1" x14ac:dyDescent="0.25">
      <c r="B84" s="5"/>
      <c r="C84" s="5" t="str">
        <f ca="1">UPPER(Taal01!$B$25)</f>
        <v>UPDATE VOOR DE EXCEL EK-POOL NAAR VERSIE</v>
      </c>
      <c r="D84" s="53"/>
      <c r="E84" s="53"/>
      <c r="F84" s="53"/>
      <c r="G84" s="53"/>
      <c r="H84" s="53"/>
      <c r="I84" s="53"/>
      <c r="J84" s="53"/>
      <c r="K84" s="53"/>
      <c r="L84" s="5"/>
      <c r="M84" s="5"/>
      <c r="N84" s="5"/>
      <c r="O84" s="5"/>
      <c r="P84" s="5"/>
      <c r="Q84" s="5"/>
      <c r="R84" s="5"/>
      <c r="S84" s="5"/>
      <c r="T84" s="5"/>
      <c r="U84" s="50"/>
      <c r="V84" s="50"/>
      <c r="W84" s="50"/>
      <c r="X84" s="654" t="s">
        <v>126</v>
      </c>
      <c r="Y84" s="632" t="str">
        <f ca="1">Taal02!$B$28</f>
        <v>Slowakije</v>
      </c>
      <c r="Z84" s="632" t="s">
        <v>2467</v>
      </c>
      <c r="AA84" s="637" t="str">
        <f ca="1">RIGHT(LEFT(Taal02!$B$48,(ROW()-66)*2),2)</f>
        <v>C3</v>
      </c>
      <c r="AB84" s="376" t="str">
        <f t="shared" ca="1" si="1"/>
        <v>Servië</v>
      </c>
      <c r="AC84" s="635" t="str">
        <f t="shared" ca="1" si="3"/>
        <v>RS</v>
      </c>
      <c r="AD84" s="275" t="s">
        <v>127</v>
      </c>
      <c r="AE84" s="275" t="str">
        <f t="shared" ca="1" si="2"/>
        <v>Roemenië</v>
      </c>
      <c r="AF84" s="376" t="str">
        <f t="shared" si="4"/>
        <v>RO</v>
      </c>
      <c r="AG84" s="275" t="str">
        <f t="shared" ca="1" si="5"/>
        <v>Roemenië</v>
      </c>
    </row>
    <row r="85" spans="2:33" hidden="1" x14ac:dyDescent="0.25">
      <c r="B85" s="5"/>
      <c r="C85" s="97" t="s">
        <v>101</v>
      </c>
      <c r="D85" s="112"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50"/>
      <c r="V85" s="50"/>
      <c r="W85" s="50"/>
      <c r="X85" s="654" t="s">
        <v>127</v>
      </c>
      <c r="Y85" s="632" t="str">
        <f ca="1">Taal02!$B$29</f>
        <v>Roemenië</v>
      </c>
      <c r="Z85" s="632" t="s">
        <v>2469</v>
      </c>
      <c r="AA85" s="637" t="str">
        <f ca="1">RIGHT(LEFT(Taal02!$B$48,(ROW()-66)*2),2)</f>
        <v>C1</v>
      </c>
      <c r="AB85" s="376" t="str">
        <f t="shared" ca="1" si="1"/>
        <v>Slovenië</v>
      </c>
      <c r="AC85" s="635" t="str">
        <f t="shared" ca="1" si="3"/>
        <v>SI</v>
      </c>
      <c r="AD85" s="275" t="s">
        <v>120</v>
      </c>
      <c r="AE85" s="275" t="str">
        <f t="shared" ca="1" si="2"/>
        <v>Servië</v>
      </c>
      <c r="AF85" s="376" t="str">
        <f t="shared" si="4"/>
        <v>RS</v>
      </c>
      <c r="AG85" s="275" t="str">
        <f t="shared" ca="1" si="5"/>
        <v>Servië</v>
      </c>
    </row>
    <row r="86" spans="2:33" hidden="1" x14ac:dyDescent="0.25">
      <c r="B86" s="5"/>
      <c r="C86" s="563" t="str">
        <f>CHAR(CODE(C85)+1)</f>
        <v>b</v>
      </c>
      <c r="D86" s="564" t="s">
        <v>16</v>
      </c>
      <c r="E86" s="565" t="str">
        <f ca="1">$C$78&amp;" "&amp;$C$77</f>
        <v>HET BEHEERDERS BESTAND EURO 2024 (DUITSLAND)</v>
      </c>
      <c r="F86" s="565"/>
      <c r="G86" s="565"/>
      <c r="H86" s="565"/>
      <c r="I86" s="565"/>
      <c r="J86" s="565"/>
      <c r="K86" s="565"/>
      <c r="L86" s="5" t="str">
        <f>""</f>
        <v/>
      </c>
      <c r="M86" s="5"/>
      <c r="N86" s="5"/>
      <c r="O86" s="5"/>
      <c r="P86" s="5"/>
      <c r="Q86" s="5"/>
      <c r="R86" s="5"/>
      <c r="S86" s="5"/>
      <c r="T86" s="5"/>
      <c r="U86" s="50"/>
      <c r="V86" s="50"/>
      <c r="W86" s="50"/>
      <c r="X86" s="654" t="s">
        <v>128</v>
      </c>
      <c r="Y86" s="632" t="str">
        <f ca="1">Taal02!$B$30</f>
        <v>Oekraïne</v>
      </c>
      <c r="Z86" s="632" t="s">
        <v>2571</v>
      </c>
      <c r="AA86" s="637" t="str">
        <f ca="1">RIGHT(LEFT(Taal02!$B$48,(ROW()-66)*2),2)</f>
        <v>E2</v>
      </c>
      <c r="AB86" s="376" t="str">
        <f t="shared" ca="1" si="1"/>
        <v>Slowakije</v>
      </c>
      <c r="AC86" s="635" t="str">
        <f ca="1">VLOOKUP($AA86,$X$67:$Z$98,3)</f>
        <v>SK</v>
      </c>
      <c r="AD86" s="275" t="s">
        <v>111</v>
      </c>
      <c r="AE86" s="275" t="str">
        <f t="shared" ca="1" si="2"/>
        <v>Schotland</v>
      </c>
      <c r="AF86" s="376" t="str">
        <f t="shared" si="4"/>
        <v>SC</v>
      </c>
      <c r="AG86" s="275" t="str">
        <f t="shared" ca="1" si="5"/>
        <v>Schotland</v>
      </c>
    </row>
    <row r="87" spans="2:33" hidden="1" x14ac:dyDescent="0.25">
      <c r="B87" s="5"/>
      <c r="C87" s="97" t="str">
        <f>CHAR(CODE(C86)+1)</f>
        <v>c</v>
      </c>
      <c r="D87" s="112"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50"/>
      <c r="V87" s="50"/>
      <c r="W87" s="50"/>
      <c r="X87" s="654" t="s">
        <v>130</v>
      </c>
      <c r="Y87" s="632" t="str">
        <f ca="1">Taal02!$B$32</f>
        <v>Turkije</v>
      </c>
      <c r="Z87" s="632" t="s">
        <v>2470</v>
      </c>
      <c r="AA87" s="637" t="str">
        <f ca="1">RIGHT(LEFT(Taal02!$B$48,(ROW()-66)*2),2)</f>
        <v>B1</v>
      </c>
      <c r="AB87" s="376" t="str">
        <f t="shared" ca="1" si="1"/>
        <v>Spanje</v>
      </c>
      <c r="AC87" s="635" t="str">
        <f t="shared" ca="1" si="3"/>
        <v>ES</v>
      </c>
      <c r="AD87" s="275" t="s">
        <v>118</v>
      </c>
      <c r="AE87" s="275" t="str">
        <f t="shared" ca="1" si="2"/>
        <v>Slovenië</v>
      </c>
      <c r="AF87" s="376" t="str">
        <f t="shared" si="4"/>
        <v>SI</v>
      </c>
      <c r="AG87" s="275" t="str">
        <f t="shared" ca="1" si="5"/>
        <v>Slovenië</v>
      </c>
    </row>
    <row r="88" spans="2:33" hidden="1" x14ac:dyDescent="0.25">
      <c r="B88" s="5"/>
      <c r="C88" s="97" t="str">
        <f>IF(LEN(S65)=2,IF(OR(RIGHT(S65,1)="e",RIGHT(S65,1)="g",RIGHT(S65,1)="i",RIGHT(S65,1)="k"),S65,"cc"),"cc")</f>
        <v>cc</v>
      </c>
      <c r="D88" s="112" t="s">
        <v>16</v>
      </c>
      <c r="E88" s="5" t="str">
        <f ca="1">$C$80&amp;" "&amp;$C$77</f>
        <v>HET DEELNAME FORMULIER EURO 2024 (DUITSLAND)</v>
      </c>
      <c r="F88" s="5"/>
      <c r="G88" s="5"/>
      <c r="H88" s="5"/>
      <c r="I88" s="5"/>
      <c r="J88" s="5"/>
      <c r="K88" s="5"/>
      <c r="L88" s="5" t="str">
        <f>IF($P$66="JA","",$L$81)</f>
        <v/>
      </c>
      <c r="M88" s="5"/>
      <c r="N88" s="5"/>
      <c r="O88" s="5"/>
      <c r="P88" s="5"/>
      <c r="Q88" s="5"/>
      <c r="R88" s="5"/>
      <c r="S88" s="5"/>
      <c r="T88" s="5"/>
      <c r="U88" s="50"/>
      <c r="V88" s="50"/>
      <c r="W88" s="50"/>
      <c r="X88" s="654" t="s">
        <v>131</v>
      </c>
      <c r="Y88" s="632" t="str">
        <f ca="1">Taal02!$B$33</f>
        <v>Georgië</v>
      </c>
      <c r="Z88" s="632" t="s">
        <v>2572</v>
      </c>
      <c r="AA88" s="637" t="str">
        <f ca="1">RIGHT(LEFT(Taal02!$B$48,(ROW()-66)*2),2)</f>
        <v>F4</v>
      </c>
      <c r="AB88" s="376" t="str">
        <f t="shared" ca="1" si="1"/>
        <v>Tsjechië</v>
      </c>
      <c r="AC88" s="635" t="str">
        <f t="shared" ca="1" si="3"/>
        <v>CZ</v>
      </c>
      <c r="AD88" s="275" t="s">
        <v>126</v>
      </c>
      <c r="AE88" s="275" t="str">
        <f t="shared" ca="1" si="2"/>
        <v>Slowakije</v>
      </c>
      <c r="AF88" s="376" t="str">
        <f t="shared" si="4"/>
        <v>SK</v>
      </c>
      <c r="AG88" s="275" t="str">
        <f t="shared" ca="1" si="5"/>
        <v>Slowakije</v>
      </c>
    </row>
    <row r="89" spans="2:33" hidden="1" x14ac:dyDescent="0.25">
      <c r="B89" s="5"/>
      <c r="C89" s="97" t="str">
        <f>IF(LEN(S65)=2,IF(OR(RIGHT(S65,1)="d",RIGHT(S65,1)="f",RIGHT(S65,1)="h",RIGHT(S65,1)="j"),S65,"ll"),"ll")</f>
        <v>hd</v>
      </c>
      <c r="D89" s="112" t="s">
        <v>16</v>
      </c>
      <c r="E89" s="5" t="str">
        <f ca="1">$C$81&amp;" "&amp;$C$77</f>
        <v>HET EXCEL DEELNAME FORMULIER EURO 2024 (DUITSLAND)</v>
      </c>
      <c r="F89" s="5"/>
      <c r="G89" s="5"/>
      <c r="H89" s="5"/>
      <c r="I89" s="5"/>
      <c r="J89" s="5"/>
      <c r="K89" s="5"/>
      <c r="L89" s="5" t="str">
        <f>IF($P$66="JA","",$L$81)</f>
        <v/>
      </c>
      <c r="M89" s="5"/>
      <c r="N89" s="5"/>
      <c r="O89" s="5"/>
      <c r="P89" s="5"/>
      <c r="Q89" s="5"/>
      <c r="R89" s="5"/>
      <c r="S89" s="5"/>
      <c r="T89" s="5"/>
      <c r="U89" s="50"/>
      <c r="V89" s="50"/>
      <c r="W89" s="50"/>
      <c r="X89" s="654" t="s">
        <v>132</v>
      </c>
      <c r="Y89" s="632" t="str">
        <f ca="1">Taal02!$B$34</f>
        <v>Portugal</v>
      </c>
      <c r="Z89" s="632" t="s">
        <v>527</v>
      </c>
      <c r="AA89" s="637" t="str">
        <f ca="1">RIGHT(LEFT(Taal02!$B$48,(ROW()-66)*2),2)</f>
        <v>F1</v>
      </c>
      <c r="AB89" s="376" t="str">
        <f t="shared" ca="1" si="1"/>
        <v>Turkije</v>
      </c>
      <c r="AC89" s="635" t="str">
        <f t="shared" ca="1" si="3"/>
        <v>TR</v>
      </c>
      <c r="AD89" s="275" t="s">
        <v>130</v>
      </c>
      <c r="AE89" s="275" t="str">
        <f t="shared" ca="1" si="2"/>
        <v>Turkije</v>
      </c>
      <c r="AF89" s="376" t="str">
        <f t="shared" si="4"/>
        <v>TR</v>
      </c>
      <c r="AG89" s="275" t="str">
        <f t="shared" ca="1" si="5"/>
        <v>Turkije</v>
      </c>
    </row>
    <row r="90" spans="2:33" hidden="1" x14ac:dyDescent="0.25">
      <c r="B90" s="5"/>
      <c r="C90" s="97" t="str">
        <f>IF(LEN($S$65)=1,"r","rr")</f>
        <v>rr</v>
      </c>
      <c r="D90" s="112"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50"/>
      <c r="V90" s="50"/>
      <c r="W90" s="50"/>
      <c r="X90" s="654" t="s">
        <v>133</v>
      </c>
      <c r="Y90" s="632" t="str">
        <f ca="1">Taal02!$B$35</f>
        <v>Tsjechië</v>
      </c>
      <c r="Z90" s="632" t="s">
        <v>2471</v>
      </c>
      <c r="AA90" s="637" t="str">
        <f ca="1">RIGHT(LEFT(Taal02!$B$48,(ROW()-66)*2),2)</f>
        <v>A4</v>
      </c>
      <c r="AB90" s="376" t="str">
        <f t="shared" ca="1" si="1"/>
        <v>Zwitserland</v>
      </c>
      <c r="AC90" s="635" t="str">
        <f t="shared" ca="1" si="3"/>
        <v>CH</v>
      </c>
      <c r="AD90" s="275" t="s">
        <v>128</v>
      </c>
      <c r="AE90" s="275" t="str">
        <f t="shared" ca="1" si="2"/>
        <v>Oekraïne</v>
      </c>
      <c r="AF90" s="376" t="str">
        <f t="shared" si="4"/>
        <v>UA</v>
      </c>
      <c r="AG90" s="275" t="str">
        <f t="shared" ca="1" si="5"/>
        <v>Oekraïne</v>
      </c>
    </row>
    <row r="91" spans="2:33" hidden="1" x14ac:dyDescent="0.25">
      <c r="B91" s="5"/>
      <c r="C91" s="97" t="str">
        <f>IF(LEN($S$65)=1,"s","ss")</f>
        <v>ss</v>
      </c>
      <c r="D91" s="112"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50"/>
      <c r="V91" s="50"/>
      <c r="W91" s="50"/>
      <c r="X91" s="654" t="s">
        <v>134</v>
      </c>
      <c r="Y91" s="632" t="str">
        <f ca="1">Taal02!$B$37</f>
        <v>ZZZ_land_G1</v>
      </c>
      <c r="Z91" s="632" t="s">
        <v>2472</v>
      </c>
      <c r="AA91" s="637" t="str">
        <f ca="1">RIGHT(LEFT(Taal02!$B$48,(ROW()-66)*2),2)</f>
        <v>G1</v>
      </c>
      <c r="AB91" s="376" t="str">
        <f t="shared" ca="1" si="1"/>
        <v>ZZZ_land_G1</v>
      </c>
      <c r="AC91" s="635" t="str">
        <f t="shared" ca="1" si="3"/>
        <v>ZA</v>
      </c>
      <c r="AD91" s="275" t="s">
        <v>134</v>
      </c>
      <c r="AE91" s="275" t="str">
        <f t="shared" ca="1" si="2"/>
        <v>ZZZ_land_G1</v>
      </c>
      <c r="AF91" s="376" t="str">
        <f t="shared" si="4"/>
        <v>ZA</v>
      </c>
      <c r="AG91" s="275" t="str">
        <f t="shared" ca="1" si="5"/>
        <v>ZZZ_land_G1</v>
      </c>
    </row>
    <row r="92" spans="2:33" hidden="1" x14ac:dyDescent="0.25">
      <c r="B92" s="5"/>
      <c r="C92" s="97" t="str">
        <f>IF(LEN($S$65)=1,"t","tt")</f>
        <v>tt</v>
      </c>
      <c r="D92" s="112"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50"/>
      <c r="V92" s="50"/>
      <c r="W92" s="50"/>
      <c r="X92" s="654" t="s">
        <v>135</v>
      </c>
      <c r="Y92" s="632" t="str">
        <f ca="1">Taal02!$B$38</f>
        <v>ZZZ_land_G2</v>
      </c>
      <c r="Z92" s="632" t="s">
        <v>2473</v>
      </c>
      <c r="AA92" s="637" t="str">
        <f ca="1">RIGHT(LEFT(Taal02!$B$48,(ROW()-66)*2),2)</f>
        <v>G2</v>
      </c>
      <c r="AB92" s="376" t="str">
        <f t="shared" ca="1" si="1"/>
        <v>ZZZ_land_G2</v>
      </c>
      <c r="AC92" s="635" t="str">
        <f t="shared" ca="1" si="3"/>
        <v>ZB</v>
      </c>
      <c r="AD92" s="275" t="s">
        <v>135</v>
      </c>
      <c r="AE92" s="275" t="str">
        <f t="shared" ca="1" si="2"/>
        <v>ZZZ_land_G2</v>
      </c>
      <c r="AF92" s="376" t="str">
        <f t="shared" si="4"/>
        <v>ZB</v>
      </c>
      <c r="AG92" s="275" t="str">
        <f t="shared" ca="1" si="5"/>
        <v>ZZZ_land_G2</v>
      </c>
    </row>
    <row r="93" spans="2:33" hidden="1" x14ac:dyDescent="0.25">
      <c r="B93" s="5"/>
      <c r="C93" s="97" t="str">
        <f>IF(LEN($S$65)=1,"u","uu")</f>
        <v>uu</v>
      </c>
      <c r="D93" s="112"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50"/>
      <c r="V93" s="50"/>
      <c r="W93" s="50"/>
      <c r="X93" s="654" t="s">
        <v>136</v>
      </c>
      <c r="Y93" s="632" t="str">
        <f ca="1">Taal02!$B$39</f>
        <v>ZZZ_land_G3</v>
      </c>
      <c r="Z93" s="632" t="s">
        <v>2474</v>
      </c>
      <c r="AA93" s="637" t="str">
        <f ca="1">RIGHT(LEFT(Taal02!$B$48,(ROW()-66)*2),2)</f>
        <v>G3</v>
      </c>
      <c r="AB93" s="376" t="str">
        <f t="shared" ca="1" si="1"/>
        <v>ZZZ_land_G3</v>
      </c>
      <c r="AC93" s="635" t="str">
        <f t="shared" ca="1" si="3"/>
        <v>ZC</v>
      </c>
      <c r="AD93" s="275" t="s">
        <v>136</v>
      </c>
      <c r="AE93" s="275" t="str">
        <f t="shared" ca="1" si="2"/>
        <v>ZZZ_land_G3</v>
      </c>
      <c r="AF93" s="376" t="str">
        <f t="shared" si="4"/>
        <v>ZC</v>
      </c>
      <c r="AG93" s="275" t="str">
        <f t="shared" ca="1" si="5"/>
        <v>ZZZ_land_G3</v>
      </c>
    </row>
    <row r="94" spans="2:33" hidden="1" x14ac:dyDescent="0.25">
      <c r="B94" s="5"/>
      <c r="C94" s="97" t="str">
        <f>IF(LEN($S$65)=1,"v","vv")</f>
        <v>vv</v>
      </c>
      <c r="D94" s="112"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50"/>
      <c r="V94" s="50"/>
      <c r="W94" s="50"/>
      <c r="X94" s="654" t="s">
        <v>137</v>
      </c>
      <c r="Y94" s="632" t="str">
        <f ca="1">Taal02!$B$40</f>
        <v>ZZZ_land_G4</v>
      </c>
      <c r="Z94" s="632" t="s">
        <v>2475</v>
      </c>
      <c r="AA94" s="637" t="str">
        <f ca="1">RIGHT(LEFT(Taal02!$B$48,(ROW()-66)*2),2)</f>
        <v>G4</v>
      </c>
      <c r="AB94" s="376" t="str">
        <f t="shared" ca="1" si="1"/>
        <v>ZZZ_land_G4</v>
      </c>
      <c r="AC94" s="635" t="str">
        <f t="shared" ca="1" si="3"/>
        <v>ZD</v>
      </c>
      <c r="AD94" s="275" t="s">
        <v>137</v>
      </c>
      <c r="AE94" s="275" t="str">
        <f t="shared" ca="1" si="2"/>
        <v>ZZZ_land_G4</v>
      </c>
      <c r="AF94" s="376" t="str">
        <f t="shared" si="4"/>
        <v>ZD</v>
      </c>
      <c r="AG94" s="275" t="str">
        <f t="shared" ca="1" si="5"/>
        <v>ZZZ_land_G4</v>
      </c>
    </row>
    <row r="95" spans="2:33" hidden="1" x14ac:dyDescent="0.25">
      <c r="B95" s="5"/>
      <c r="C95" s="97" t="str">
        <f>IF(LEN($S$65)=1,"w","ww")</f>
        <v>ww</v>
      </c>
      <c r="D95" s="112"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50"/>
      <c r="V95" s="50"/>
      <c r="W95" s="50"/>
      <c r="X95" s="654" t="s">
        <v>138</v>
      </c>
      <c r="Y95" s="632" t="str">
        <f ca="1">Taal02!$B$42</f>
        <v>ZZZ_land_H1</v>
      </c>
      <c r="Z95" s="632" t="s">
        <v>2478</v>
      </c>
      <c r="AA95" s="637" t="str">
        <f ca="1">RIGHT(LEFT(Taal02!$B$48,(ROW()-66)*2),2)</f>
        <v>H1</v>
      </c>
      <c r="AB95" s="376" t="str">
        <f t="shared" ca="1" si="1"/>
        <v>ZZZ_land_H1</v>
      </c>
      <c r="AC95" s="635" t="str">
        <f t="shared" ca="1" si="3"/>
        <v>ZE</v>
      </c>
      <c r="AD95" s="275" t="s">
        <v>138</v>
      </c>
      <c r="AE95" s="275" t="str">
        <f t="shared" ca="1" si="2"/>
        <v>ZZZ_land_H1</v>
      </c>
      <c r="AF95" s="376" t="str">
        <f t="shared" si="4"/>
        <v>ZE</v>
      </c>
      <c r="AG95" s="275" t="str">
        <f t="shared" ca="1" si="5"/>
        <v>ZZZ_land_H1</v>
      </c>
    </row>
    <row r="96" spans="2:33" hidden="1" x14ac:dyDescent="0.25">
      <c r="B96" s="5"/>
      <c r="C96" s="97" t="s">
        <v>511</v>
      </c>
      <c r="D96" s="112"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50"/>
      <c r="V96" s="50"/>
      <c r="W96" s="50"/>
      <c r="X96" s="654" t="s">
        <v>139</v>
      </c>
      <c r="Y96" s="632" t="str">
        <f ca="1">Taal02!$B$43</f>
        <v>ZZZ_land_H2</v>
      </c>
      <c r="Z96" s="632" t="s">
        <v>2476</v>
      </c>
      <c r="AA96" s="637" t="str">
        <f ca="1">RIGHT(LEFT(Taal02!$B$48,(ROW()-66)*2),2)</f>
        <v>H2</v>
      </c>
      <c r="AB96" s="376" t="str">
        <f t="shared" ca="1" si="1"/>
        <v>ZZZ_land_H2</v>
      </c>
      <c r="AC96" s="635" t="str">
        <f t="shared" ca="1" si="3"/>
        <v>ZF</v>
      </c>
      <c r="AD96" s="275" t="s">
        <v>139</v>
      </c>
      <c r="AE96" s="275" t="str">
        <f t="shared" ca="1" si="2"/>
        <v>ZZZ_land_H2</v>
      </c>
      <c r="AF96" s="376" t="str">
        <f t="shared" si="4"/>
        <v>ZF</v>
      </c>
      <c r="AG96" s="275" t="str">
        <f t="shared" ca="1" si="5"/>
        <v>ZZZ_land_H2</v>
      </c>
    </row>
    <row r="97" spans="2:33" hidden="1" x14ac:dyDescent="0.25">
      <c r="B97" s="5"/>
      <c r="C97" s="97" t="s">
        <v>512</v>
      </c>
      <c r="D97" s="112"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50"/>
      <c r="V97" s="50"/>
      <c r="W97" s="50"/>
      <c r="X97" s="654" t="s">
        <v>140</v>
      </c>
      <c r="Y97" s="632" t="str">
        <f ca="1">Taal02!$B$44</f>
        <v>ZZZ_land_H3</v>
      </c>
      <c r="Z97" s="632" t="s">
        <v>2477</v>
      </c>
      <c r="AA97" s="637" t="str">
        <f ca="1">RIGHT(LEFT(Taal02!$B$48,(ROW()-66)*2),2)</f>
        <v>H3</v>
      </c>
      <c r="AB97" s="376" t="str">
        <f t="shared" ca="1" si="1"/>
        <v>ZZZ_land_H3</v>
      </c>
      <c r="AC97" s="635" t="str">
        <f t="shared" ca="1" si="3"/>
        <v>ZG</v>
      </c>
      <c r="AD97" s="275" t="s">
        <v>140</v>
      </c>
      <c r="AE97" s="275" t="str">
        <f t="shared" ca="1" si="2"/>
        <v>ZZZ_land_H3</v>
      </c>
      <c r="AF97" s="376" t="str">
        <f t="shared" si="4"/>
        <v>ZG</v>
      </c>
      <c r="AG97" s="275" t="str">
        <f t="shared" ca="1" si="5"/>
        <v>ZZZ_land_H3</v>
      </c>
    </row>
    <row r="98" spans="2:33" hidden="1" x14ac:dyDescent="0.25">
      <c r="B98" s="5"/>
      <c r="C98" s="97" t="s">
        <v>513</v>
      </c>
      <c r="D98" s="112" t="s">
        <v>16</v>
      </c>
      <c r="E98" s="5" t="str">
        <f ca="1">UPPER(Taal01!$B$26)</f>
        <v>HELPBESTAND VOOR EXCEL-POOL.NL</v>
      </c>
      <c r="F98" s="5"/>
      <c r="G98" s="5"/>
      <c r="H98" s="5"/>
      <c r="I98" s="5"/>
      <c r="J98" s="5"/>
      <c r="K98" s="5"/>
      <c r="L98" s="5" t="str">
        <f>""</f>
        <v/>
      </c>
      <c r="M98" s="5"/>
      <c r="N98" s="5"/>
      <c r="O98" s="5"/>
      <c r="P98" s="5"/>
      <c r="Q98" s="5"/>
      <c r="R98" s="5"/>
      <c r="S98" s="5"/>
      <c r="T98" s="5"/>
      <c r="U98" s="50"/>
      <c r="V98" s="50"/>
      <c r="W98" s="50"/>
      <c r="X98" s="654" t="s">
        <v>141</v>
      </c>
      <c r="Y98" s="632" t="str">
        <f ca="1">Taal02!$B$45</f>
        <v>ZZZ_land_H4</v>
      </c>
      <c r="Z98" s="632" t="s">
        <v>2479</v>
      </c>
      <c r="AA98" s="637" t="str">
        <f ca="1">RIGHT(LEFT(Taal02!$B$48,(ROW()-66)*2),2)</f>
        <v>H4</v>
      </c>
      <c r="AB98" s="376" t="str">
        <f t="shared" ca="1" si="1"/>
        <v>ZZZ_land_H4</v>
      </c>
      <c r="AC98" s="635" t="str">
        <f t="shared" ca="1" si="3"/>
        <v>ZH</v>
      </c>
      <c r="AD98" s="275" t="s">
        <v>141</v>
      </c>
      <c r="AE98" s="275" t="str">
        <f t="shared" ca="1" si="2"/>
        <v>ZZZ_land_H4</v>
      </c>
      <c r="AF98" s="376"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50"/>
      <c r="V99" s="50"/>
      <c r="W99" s="50"/>
      <c r="X99" s="376" t="s">
        <v>446</v>
      </c>
      <c r="Y99" s="50"/>
      <c r="Z99" s="633"/>
      <c r="AA99" s="1145" t="s">
        <v>415</v>
      </c>
      <c r="AB99" s="1146"/>
      <c r="AC99" s="1161"/>
      <c r="AD99" s="1145" t="s">
        <v>416</v>
      </c>
      <c r="AE99" s="1146"/>
      <c r="AF99" s="1146"/>
      <c r="AG99" s="1146"/>
    </row>
  </sheetData>
  <sheetProtection algorithmName="SHA-512" hashValue="vf9Ek50NYjmbt755smAiq4Hp7tI5JiAHSYvg1LM7B4AJF0jmZiGWeStV2lXQOSN0UbjIs5M+HQuvgZVIAY9oCA==" saltValue="hwqzcgUwjk6h6tTjE2eUc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5" priority="21">
      <formula>$A$1="A255255255"</formula>
    </cfRule>
    <cfRule type="expression" dxfId="84"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topLeftCell="A42"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4" t="str">
        <f>Voorblad!A1</f>
        <v>A255255255</v>
      </c>
      <c r="B1" s="94" t="str">
        <f>Voorblad!B1</f>
        <v>B000080160</v>
      </c>
      <c r="C1" s="94" t="str">
        <f>Voorblad!C1</f>
        <v>C150200250</v>
      </c>
      <c r="D1" s="94" t="str">
        <f>Voorblad!D1</f>
        <v>D000080160</v>
      </c>
      <c r="E1" s="1053" t="str">
        <f>Voorblad!E1</f>
        <v>E000080160</v>
      </c>
      <c r="F1" s="99"/>
      <c r="G1" s="99"/>
      <c r="H1" s="99"/>
      <c r="I1" s="99"/>
      <c r="J1" s="99"/>
      <c r="K1" s="99"/>
      <c r="L1" s="99"/>
      <c r="M1" s="99"/>
      <c r="O1" s="1186"/>
      <c r="P1" s="1186"/>
      <c r="R1" s="1193"/>
      <c r="S1" s="1193"/>
      <c r="T1" s="5"/>
      <c r="U1" s="5"/>
    </row>
    <row r="2" spans="1:26" ht="15" customHeight="1" x14ac:dyDescent="0.25">
      <c r="B2" s="106"/>
      <c r="C2" s="1187" t="str">
        <f>IF(Q82*Q83*Q84=1,IF(Q85=Q86,"","DE INGEVOERDE REGLEMENTCODE IS NIET GELDIG VOOR HET HUIDIGE FORMULIER"),Voorblad!L81)</f>
        <v/>
      </c>
      <c r="D2" s="1187"/>
      <c r="E2" s="1187"/>
      <c r="F2" s="1187"/>
      <c r="G2" s="1187"/>
      <c r="H2" s="1187"/>
      <c r="I2" s="1187"/>
      <c r="J2" s="1187"/>
      <c r="K2" s="1187"/>
      <c r="L2" s="1187"/>
      <c r="M2" s="1187"/>
      <c r="N2" s="1187"/>
      <c r="O2" s="1168"/>
      <c r="P2" s="1168"/>
      <c r="R2" s="1193"/>
      <c r="S2" s="1193"/>
      <c r="T2" s="5"/>
      <c r="U2" s="5"/>
      <c r="V2" s="1144" t="str">
        <f ca="1">Taal01!$B$37</f>
        <v>Reglement</v>
      </c>
      <c r="W2" s="1144"/>
      <c r="X2" s="1144"/>
      <c r="Y2" s="1144"/>
      <c r="Z2" s="1144"/>
    </row>
    <row r="3" spans="1:26" ht="15" customHeight="1" x14ac:dyDescent="0.25">
      <c r="B3" s="17"/>
      <c r="C3" s="1075"/>
      <c r="D3" s="1089" t="str">
        <f ca="1">IF(Q81=1,Taal03!B6,"")&amp;IF(N81*Q81=1," "&amp;SUBSTITUTE(Taal03!B7,"#",1),"")</f>
        <v>Het Algemeen Reglement (pagina 1)</v>
      </c>
      <c r="E3" s="1077"/>
      <c r="F3" s="1077"/>
      <c r="G3" s="1077"/>
      <c r="H3" s="1077"/>
      <c r="I3" s="1077"/>
      <c r="J3" s="1077"/>
      <c r="K3" s="1077"/>
      <c r="L3" s="1077"/>
      <c r="M3" s="1085" t="str">
        <f ca="1">IF(H93="","",Taal01!$B$6&amp;": "&amp;SUBSTITUTE(H93,"*#"," "))</f>
        <v>EURO 2024: EK Polo-poule</v>
      </c>
      <c r="N3" s="1079"/>
      <c r="O3" s="17"/>
      <c r="P3" s="93" t="s">
        <v>2594</v>
      </c>
      <c r="R3" s="1193"/>
      <c r="S3" s="1193"/>
      <c r="T3" s="5"/>
      <c r="U3" s="5"/>
      <c r="V3" s="1144"/>
      <c r="W3" s="1144"/>
      <c r="X3" s="1144"/>
      <c r="Y3" s="1144"/>
      <c r="Z3" s="1144"/>
    </row>
    <row r="4" spans="1:26" ht="15" customHeight="1" x14ac:dyDescent="0.25">
      <c r="B4" s="17"/>
      <c r="C4" s="17"/>
      <c r="D4" s="17"/>
      <c r="E4" s="17"/>
      <c r="F4" s="17"/>
      <c r="G4" s="17"/>
      <c r="H4" s="17"/>
      <c r="I4" s="17"/>
      <c r="J4" s="17"/>
      <c r="K4" s="17"/>
      <c r="L4" s="17"/>
      <c r="M4" s="17"/>
      <c r="N4" s="17"/>
      <c r="O4" s="1168"/>
      <c r="P4" s="1168"/>
      <c r="R4" s="5"/>
      <c r="S4" s="5"/>
      <c r="T4" s="5"/>
      <c r="U4" s="5"/>
      <c r="V4" s="1144"/>
      <c r="W4" s="1144"/>
      <c r="X4" s="1144"/>
      <c r="Y4" s="1144"/>
      <c r="Z4" s="1144"/>
    </row>
    <row r="5" spans="1:26" ht="15" customHeight="1" x14ac:dyDescent="0.25">
      <c r="B5" s="17"/>
      <c r="C5" s="1075"/>
      <c r="D5" s="1089" t="str">
        <f ca="1">IF(Q81=1,Taal03!B8,"")</f>
        <v>De Regels</v>
      </c>
      <c r="E5" s="1077"/>
      <c r="F5" s="1077"/>
      <c r="G5" s="1077"/>
      <c r="H5" s="1077"/>
      <c r="I5" s="1077"/>
      <c r="J5" s="1077"/>
      <c r="K5" s="1077"/>
      <c r="L5" s="1077"/>
      <c r="M5" s="1077"/>
      <c r="N5" s="1079"/>
      <c r="O5" s="1168"/>
      <c r="P5" s="1168"/>
      <c r="R5" s="38" t="str">
        <f ca="1">H92&amp;" "&amp;I92</f>
        <v>14 juni</v>
      </c>
      <c r="S5" s="51" t="s">
        <v>47</v>
      </c>
      <c r="T5" s="5"/>
      <c r="U5" s="5"/>
    </row>
    <row r="6" spans="1:26" ht="14.1" customHeight="1" x14ac:dyDescent="0.25">
      <c r="B6" s="17"/>
      <c r="C6" s="1049"/>
      <c r="D6" s="17"/>
      <c r="E6" s="17"/>
      <c r="F6" s="17"/>
      <c r="G6" s="17"/>
      <c r="H6" s="17"/>
      <c r="I6" s="17"/>
      <c r="J6" s="17"/>
      <c r="K6" s="17"/>
      <c r="L6" s="17"/>
      <c r="M6" s="17"/>
      <c r="N6" s="61"/>
      <c r="O6" s="1168"/>
      <c r="P6" s="1168"/>
      <c r="R6" s="38" t="str">
        <f>IF(F82="","NEE",H91)</f>
        <v>JA</v>
      </c>
      <c r="S6" s="51" t="s">
        <v>76</v>
      </c>
      <c r="T6" s="5"/>
      <c r="U6" s="5"/>
    </row>
    <row r="7" spans="1:26" ht="14.1" customHeight="1" x14ac:dyDescent="0.25">
      <c r="B7" s="17"/>
      <c r="C7" s="1049"/>
      <c r="D7" s="1188" t="str">
        <f ca="1">SUBSTITUTE(SUBSTITUTE(SUBSTITUTE(SUBSTITUTE(IF(R7="JA",Taal03!B9,Taal03!B10),"$$$",SUBSTITUTE(H94,"*#"," ")),"&amp;&amp;&amp;",H95),"###",R5),"() ","")</f>
        <v>De Deelnamecode en/of het Deelname Formulier dienen voor 14 juni ingeleverd te worden bij Polo Bar (info@polobar.nl).</v>
      </c>
      <c r="E7" s="1188"/>
      <c r="F7" s="1188"/>
      <c r="G7" s="1188"/>
      <c r="H7" s="1188"/>
      <c r="I7" s="1188"/>
      <c r="J7" s="1188"/>
      <c r="K7" s="1188"/>
      <c r="L7" s="1188"/>
      <c r="M7" s="1188"/>
      <c r="N7" s="61"/>
      <c r="O7" s="1168"/>
      <c r="P7" s="1168"/>
      <c r="R7" s="38" t="str">
        <f>IF(F82="","NEE",IF(G94="00","NEE","JA"))</f>
        <v>JA</v>
      </c>
      <c r="S7" s="51" t="s">
        <v>78</v>
      </c>
      <c r="T7" s="5"/>
      <c r="U7" s="5"/>
    </row>
    <row r="8" spans="1:26" ht="14.1" customHeight="1" x14ac:dyDescent="0.25">
      <c r="B8" s="17"/>
      <c r="C8" s="1049"/>
      <c r="D8" s="1188"/>
      <c r="E8" s="1188"/>
      <c r="F8" s="1188"/>
      <c r="G8" s="1188"/>
      <c r="H8" s="1188"/>
      <c r="I8" s="1188"/>
      <c r="J8" s="1188"/>
      <c r="K8" s="1188"/>
      <c r="L8" s="1188"/>
      <c r="M8" s="1188"/>
      <c r="N8" s="61"/>
      <c r="O8" s="1168"/>
      <c r="P8" s="1168"/>
      <c r="R8" s="38" t="str">
        <f>IF(F82="","NEE",IF(G95="00","NEE","JA"))</f>
        <v>JA</v>
      </c>
      <c r="S8" s="51" t="s">
        <v>77</v>
      </c>
      <c r="T8" s="5"/>
      <c r="U8" s="5"/>
    </row>
    <row r="9" spans="1:26" ht="9.9499999999999993" customHeight="1" x14ac:dyDescent="0.25">
      <c r="B9" s="17"/>
      <c r="C9" s="1049"/>
      <c r="D9" s="1188"/>
      <c r="E9" s="1188"/>
      <c r="F9" s="1188"/>
      <c r="G9" s="1188"/>
      <c r="H9" s="1188"/>
      <c r="I9" s="1188"/>
      <c r="J9" s="1188"/>
      <c r="K9" s="1188"/>
      <c r="L9" s="1188"/>
      <c r="M9" s="1188"/>
      <c r="N9" s="61"/>
      <c r="O9" s="1168"/>
      <c r="P9" s="1168"/>
      <c r="R9" s="5"/>
      <c r="S9" s="69"/>
      <c r="T9" s="5"/>
      <c r="U9" s="5"/>
    </row>
    <row r="10" spans="1:26" ht="14.1" customHeight="1" x14ac:dyDescent="0.25">
      <c r="B10" s="17"/>
      <c r="C10" s="1049"/>
      <c r="D10" s="1188" t="str">
        <f ca="1">IF(R10="geen",Taal03!B15,SUBSTITUTE(IF(H106=0,Taal03!B16,IF(C98= "NEE",Taal03!B17,Taal03!B18)),"###",FIXED(M106,2))&amp;" "&amp;IF(R71=RIGHT(S71,2),Taal03!B19,Taal03!B20))</f>
        <v>Deze pool heeft voor deelname een optionele inleg van €10,00 (zie werkblad 'Prijzenpot' voor meer info).</v>
      </c>
      <c r="E10" s="1188"/>
      <c r="F10" s="1188"/>
      <c r="G10" s="1188"/>
      <c r="H10" s="1188"/>
      <c r="I10" s="1188"/>
      <c r="J10" s="1188"/>
      <c r="K10" s="1188"/>
      <c r="L10" s="1188"/>
      <c r="M10" s="1188"/>
      <c r="N10" s="1189"/>
      <c r="O10" s="1168"/>
      <c r="P10" s="1168"/>
      <c r="R10" s="38" t="str">
        <f>IF(H91="JA","wel","geen")</f>
        <v>wel</v>
      </c>
      <c r="S10" s="51" t="s">
        <v>46</v>
      </c>
      <c r="T10" s="5"/>
      <c r="U10" s="5"/>
    </row>
    <row r="11" spans="1:26" ht="9.9499999999999993" customHeight="1" x14ac:dyDescent="0.25">
      <c r="B11" s="17"/>
      <c r="C11" s="1049"/>
      <c r="D11" s="1188"/>
      <c r="E11" s="1188"/>
      <c r="F11" s="1188"/>
      <c r="G11" s="1188"/>
      <c r="H11" s="1188"/>
      <c r="I11" s="1188"/>
      <c r="J11" s="1188"/>
      <c r="K11" s="1188"/>
      <c r="L11" s="1188"/>
      <c r="M11" s="1188"/>
      <c r="N11" s="1189"/>
      <c r="O11" s="1168"/>
      <c r="P11" s="1168"/>
      <c r="R11" s="5"/>
      <c r="S11" s="69"/>
      <c r="T11" s="5"/>
      <c r="U11" s="5"/>
    </row>
    <row r="12" spans="1:26" ht="14.1" customHeight="1" x14ac:dyDescent="0.25">
      <c r="B12" s="17"/>
      <c r="C12" s="1049"/>
      <c r="D12" s="1188" t="str">
        <f ca="1">IF(R12="wel",Taal03!B21,Taal03!B22)</f>
        <v>Het is wel toegestaan om als deelnemer meerdere deelname formulieren in te leveren.</v>
      </c>
      <c r="E12" s="1188"/>
      <c r="F12" s="1188"/>
      <c r="G12" s="1188"/>
      <c r="H12" s="1188"/>
      <c r="I12" s="1188"/>
      <c r="J12" s="1188"/>
      <c r="K12" s="1188"/>
      <c r="L12" s="1188"/>
      <c r="M12" s="1188"/>
      <c r="N12" s="61"/>
      <c r="O12" s="1168"/>
      <c r="P12" s="1168"/>
      <c r="R12" s="38" t="str">
        <f>IF(H89="JA","wel","niet")</f>
        <v>wel</v>
      </c>
      <c r="S12" s="51" t="s">
        <v>45</v>
      </c>
      <c r="T12" s="5"/>
      <c r="U12" s="5"/>
    </row>
    <row r="13" spans="1:26" ht="9.9499999999999993" customHeight="1" x14ac:dyDescent="0.25">
      <c r="B13" s="17"/>
      <c r="C13" s="1049"/>
      <c r="D13" s="1188"/>
      <c r="E13" s="1188"/>
      <c r="F13" s="1188"/>
      <c r="G13" s="1188"/>
      <c r="H13" s="1188"/>
      <c r="I13" s="1188"/>
      <c r="J13" s="1188"/>
      <c r="K13" s="1188"/>
      <c r="L13" s="1188"/>
      <c r="M13" s="1188"/>
      <c r="N13" s="61"/>
      <c r="O13" s="1168"/>
      <c r="P13" s="1168"/>
      <c r="R13" s="5"/>
      <c r="S13" s="69"/>
      <c r="T13" s="5"/>
      <c r="U13" s="5"/>
    </row>
    <row r="14" spans="1:26" ht="14.1" customHeight="1" x14ac:dyDescent="0.25">
      <c r="B14" s="17"/>
      <c r="C14" s="1049"/>
      <c r="D14" s="1188" t="str">
        <f ca="1">Taal03!B13</f>
        <v>Na de start van de openingsceremonie is het niet meer mogelijk om uw voorspellingen aan te passen.</v>
      </c>
      <c r="E14" s="1188"/>
      <c r="F14" s="1188"/>
      <c r="G14" s="1188"/>
      <c r="H14" s="1188"/>
      <c r="I14" s="1188"/>
      <c r="J14" s="1188"/>
      <c r="K14" s="1188"/>
      <c r="L14" s="1188"/>
      <c r="M14" s="1188"/>
      <c r="N14" s="61"/>
      <c r="O14" s="445"/>
      <c r="P14" s="445"/>
      <c r="R14" s="5"/>
      <c r="S14" s="69"/>
      <c r="T14" s="5"/>
      <c r="U14" s="5"/>
    </row>
    <row r="15" spans="1:26" ht="9.9499999999999993" customHeight="1" x14ac:dyDescent="0.25">
      <c r="B15" s="17"/>
      <c r="C15" s="1049"/>
      <c r="D15" s="1188"/>
      <c r="E15" s="1188"/>
      <c r="F15" s="1188"/>
      <c r="G15" s="1188"/>
      <c r="H15" s="1188"/>
      <c r="I15" s="1188"/>
      <c r="J15" s="1188"/>
      <c r="K15" s="1188"/>
      <c r="L15" s="1188"/>
      <c r="M15" s="1188"/>
      <c r="N15" s="61"/>
      <c r="O15" s="445"/>
      <c r="P15" s="445"/>
      <c r="R15" s="5"/>
      <c r="S15" s="69"/>
      <c r="T15" s="5"/>
      <c r="U15" s="5"/>
    </row>
    <row r="16" spans="1:26" ht="14.1" customHeight="1" x14ac:dyDescent="0.25">
      <c r="B16" s="17"/>
      <c r="C16" s="1049"/>
      <c r="D16" s="1188" t="str">
        <f ca="1">IF(G134="JA",Taal03!B23,Taal03!B24)</f>
        <v>Voor het voorspellen van de TOTO vult men een 1 in wanneer men denkt dat de thuisploeg zal winnen, een 2 als men denkt dat de uitploeg zal winnen en wanneer men een gelijkspel verwacht vult men een 3 in.</v>
      </c>
      <c r="E16" s="1188"/>
      <c r="F16" s="1188"/>
      <c r="G16" s="1188"/>
      <c r="H16" s="1188"/>
      <c r="I16" s="1188"/>
      <c r="J16" s="1188"/>
      <c r="K16" s="1188"/>
      <c r="L16" s="1188"/>
      <c r="M16" s="1188"/>
      <c r="N16" s="61"/>
      <c r="O16" s="1168"/>
      <c r="P16" s="1168"/>
      <c r="R16" s="5"/>
      <c r="S16" s="631"/>
      <c r="T16" s="5"/>
      <c r="U16" s="5"/>
    </row>
    <row r="17" spans="1:21" ht="14.1" customHeight="1" x14ac:dyDescent="0.25">
      <c r="B17" s="17"/>
      <c r="C17" s="1049"/>
      <c r="D17" s="1188"/>
      <c r="E17" s="1188"/>
      <c r="F17" s="1188"/>
      <c r="G17" s="1188"/>
      <c r="H17" s="1188"/>
      <c r="I17" s="1188"/>
      <c r="J17" s="1188"/>
      <c r="K17" s="1188"/>
      <c r="L17" s="1188"/>
      <c r="M17" s="1188"/>
      <c r="N17" s="61"/>
      <c r="O17" s="1168"/>
      <c r="P17" s="1168"/>
      <c r="R17" s="5"/>
      <c r="S17" s="219"/>
      <c r="T17" s="5"/>
      <c r="U17" s="5"/>
    </row>
    <row r="18" spans="1:21" ht="9.9499999999999993" customHeight="1" x14ac:dyDescent="0.25">
      <c r="B18" s="17"/>
      <c r="C18" s="1049"/>
      <c r="D18" s="1188"/>
      <c r="E18" s="1188"/>
      <c r="F18" s="1188"/>
      <c r="G18" s="1188"/>
      <c r="H18" s="1188"/>
      <c r="I18" s="1188"/>
      <c r="J18" s="1188"/>
      <c r="K18" s="1188"/>
      <c r="L18" s="1188"/>
      <c r="M18" s="1188"/>
      <c r="N18" s="61"/>
      <c r="O18" s="1168"/>
      <c r="P18" s="1168"/>
      <c r="R18" s="5"/>
      <c r="S18" s="10"/>
      <c r="T18" s="5"/>
      <c r="U18" s="5"/>
    </row>
    <row r="19" spans="1:21" ht="14.1" customHeight="1" x14ac:dyDescent="0.25">
      <c r="B19" s="17"/>
      <c r="C19" s="1049"/>
      <c r="D19" s="1188" t="str">
        <f ca="1">IF(R19=1,Taal03!B25,Taal03!B26)&amp;" "&amp;Taal03!B27</f>
        <v>In de finalewedstrijden wordt de uitslag aangehouden die bereikt is na het verstrijken van de reguliere speeltijd inclusief de blessuretijd. Een gelijkspel in de finalewedstrijden is dus ook mogelijk.</v>
      </c>
      <c r="E19" s="1188"/>
      <c r="F19" s="1188"/>
      <c r="G19" s="1188"/>
      <c r="H19" s="1188"/>
      <c r="I19" s="1188"/>
      <c r="J19" s="1188"/>
      <c r="K19" s="1188"/>
      <c r="L19" s="1188"/>
      <c r="M19" s="1188"/>
      <c r="N19" s="61"/>
      <c r="O19" s="1168"/>
      <c r="P19" s="1168"/>
      <c r="R19" s="38">
        <f>H90</f>
        <v>1</v>
      </c>
      <c r="S19" s="51" t="s">
        <v>500</v>
      </c>
      <c r="T19" s="5"/>
      <c r="U19" s="5"/>
    </row>
    <row r="20" spans="1:21" ht="14.1" customHeight="1" x14ac:dyDescent="0.25">
      <c r="B20" s="17"/>
      <c r="C20" s="1049"/>
      <c r="D20" s="1188"/>
      <c r="E20" s="1188"/>
      <c r="F20" s="1188"/>
      <c r="G20" s="1188"/>
      <c r="H20" s="1188"/>
      <c r="I20" s="1188"/>
      <c r="J20" s="1188"/>
      <c r="K20" s="1188"/>
      <c r="L20" s="1188"/>
      <c r="M20" s="1188"/>
      <c r="N20" s="61"/>
      <c r="O20" s="1168"/>
      <c r="P20" s="1168"/>
      <c r="R20" s="5"/>
      <c r="S20" s="10"/>
      <c r="T20" s="5"/>
      <c r="U20" s="5"/>
    </row>
    <row r="21" spans="1:21" ht="9.9499999999999993" customHeight="1" x14ac:dyDescent="0.25">
      <c r="B21" s="17"/>
      <c r="C21" s="1049"/>
      <c r="D21" s="1188"/>
      <c r="E21" s="1188"/>
      <c r="F21" s="1188"/>
      <c r="G21" s="1188"/>
      <c r="H21" s="1188"/>
      <c r="I21" s="1188"/>
      <c r="J21" s="1188"/>
      <c r="K21" s="1188"/>
      <c r="L21" s="1188"/>
      <c r="M21" s="1188"/>
      <c r="N21" s="61"/>
      <c r="O21" s="1168"/>
      <c r="P21" s="1168"/>
      <c r="R21" s="5"/>
      <c r="S21" s="10"/>
      <c r="T21" s="5"/>
      <c r="U21" s="5"/>
    </row>
    <row r="22" spans="1:21" ht="14.1" customHeight="1" x14ac:dyDescent="0.25">
      <c r="B22" s="17"/>
      <c r="C22" s="1049"/>
      <c r="D22" s="1188" t="str">
        <f ca="1">Taal03!B28</f>
        <v>In gevallen waar het reglement niet in voorziet, beslist de wedstrijdleiding.</v>
      </c>
      <c r="E22" s="1188"/>
      <c r="F22" s="1188"/>
      <c r="G22" s="1188"/>
      <c r="H22" s="1188"/>
      <c r="I22" s="1188"/>
      <c r="J22" s="1188"/>
      <c r="K22" s="1188"/>
      <c r="L22" s="1188"/>
      <c r="M22" s="1188"/>
      <c r="N22" s="61"/>
      <c r="O22" s="1168"/>
      <c r="P22" s="1168"/>
      <c r="R22" s="5"/>
      <c r="S22" s="10"/>
      <c r="T22" s="5"/>
      <c r="U22" s="5"/>
    </row>
    <row r="23" spans="1:21" ht="9.9499999999999993" customHeight="1" x14ac:dyDescent="0.25">
      <c r="B23" s="17"/>
      <c r="C23" s="1049"/>
      <c r="D23" s="1188"/>
      <c r="E23" s="1188"/>
      <c r="F23" s="1188"/>
      <c r="G23" s="1188"/>
      <c r="H23" s="1188"/>
      <c r="I23" s="1188"/>
      <c r="J23" s="1188"/>
      <c r="K23" s="1188"/>
      <c r="L23" s="1188"/>
      <c r="M23" s="1188"/>
      <c r="N23" s="61"/>
      <c r="O23" s="1168"/>
      <c r="P23" s="1168"/>
      <c r="R23" s="1206"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100101900102104105106900107108109110111900200201202204900300301302303900600601602</v>
      </c>
      <c r="S23" s="1206"/>
      <c r="T23" s="1206"/>
      <c r="U23" s="1206"/>
    </row>
    <row r="24" spans="1:21" ht="14.1" customHeight="1" x14ac:dyDescent="0.25">
      <c r="B24" s="17"/>
      <c r="C24" s="1049"/>
      <c r="D24" s="1188" t="str">
        <f ca="1">Taal03!B29</f>
        <v>Door het inleveren van het deelname formulier gaat u akkoord met dit wedstrijdreglement.</v>
      </c>
      <c r="E24" s="1188"/>
      <c r="F24" s="1188"/>
      <c r="G24" s="1188"/>
      <c r="H24" s="1188"/>
      <c r="I24" s="1188"/>
      <c r="J24" s="1188"/>
      <c r="K24" s="1188"/>
      <c r="L24" s="1188"/>
      <c r="M24" s="1188"/>
      <c r="N24" s="61"/>
      <c r="O24" s="1168"/>
      <c r="P24" s="1168"/>
      <c r="R24" s="1206"/>
      <c r="S24" s="1206"/>
      <c r="T24" s="1206"/>
      <c r="U24" s="1206"/>
    </row>
    <row r="25" spans="1:21" ht="14.1" customHeight="1" x14ac:dyDescent="0.25">
      <c r="B25" s="17"/>
      <c r="C25" s="1050"/>
      <c r="D25" s="1219"/>
      <c r="E25" s="1219"/>
      <c r="F25" s="1219"/>
      <c r="G25" s="1219"/>
      <c r="H25" s="1219"/>
      <c r="I25" s="1219"/>
      <c r="J25" s="1219"/>
      <c r="K25" s="1219"/>
      <c r="L25" s="1219"/>
      <c r="M25" s="1219"/>
      <c r="N25" s="1052"/>
      <c r="O25" s="1168"/>
      <c r="P25" s="1168"/>
      <c r="R25" s="1206"/>
      <c r="S25" s="1206"/>
      <c r="T25" s="1206"/>
      <c r="U25" s="1206"/>
    </row>
    <row r="26" spans="1:21" ht="15" customHeight="1" x14ac:dyDescent="0.25">
      <c r="B26" s="17"/>
      <c r="C26" s="17"/>
      <c r="D26" s="17"/>
      <c r="E26" s="17"/>
      <c r="F26" s="17"/>
      <c r="G26" s="17"/>
      <c r="H26" s="17"/>
      <c r="I26" s="17"/>
      <c r="J26" s="17"/>
      <c r="K26" s="17"/>
      <c r="L26" s="17"/>
      <c r="M26" s="17"/>
      <c r="N26" s="17"/>
      <c r="O26" s="1168"/>
      <c r="P26" s="1168"/>
      <c r="R26" s="220"/>
      <c r="S26" s="631">
        <f ca="1">IF(U26="",999,100)</f>
        <v>100</v>
      </c>
      <c r="T26" s="10" t="str">
        <f>""</f>
        <v/>
      </c>
      <c r="U26" s="175" t="str">
        <f ca="1">UPPER(Taal03!B54)</f>
        <v>HET VOORSPELLEN VAN DE LANDEN IN DE FINALEWEDSTRIJDEN</v>
      </c>
    </row>
    <row r="27" spans="1:21" ht="15" customHeight="1" x14ac:dyDescent="0.25">
      <c r="B27" s="17"/>
      <c r="C27" s="1075"/>
      <c r="D27" s="1089" t="str">
        <f ca="1">IF(Q81=1,Taal03!B49,"")</f>
        <v>De Puntentelling</v>
      </c>
      <c r="E27" s="1077"/>
      <c r="F27" s="1077"/>
      <c r="G27" s="1077"/>
      <c r="H27" s="1077"/>
      <c r="I27" s="1077"/>
      <c r="J27" s="1077"/>
      <c r="K27" s="1077"/>
      <c r="L27" s="1077"/>
      <c r="M27" s="1077"/>
      <c r="N27" s="1079"/>
      <c r="O27" s="1168"/>
      <c r="P27" s="1168"/>
      <c r="R27" s="220"/>
      <c r="S27" s="10">
        <f ca="1">IF(U27="",999,101)</f>
        <v>101</v>
      </c>
      <c r="T27" s="10">
        <f>IF($Q$81=0,0,$H$117)</f>
        <v>50</v>
      </c>
      <c r="U27" s="5" t="str">
        <f ca="1">IF($Q$81=0,"",IF($H$117=1,Taal03!B$50,Taal03!B$51)&amp;" "&amp;Taal03!B57)</f>
        <v>Punten voor het goed voorspellen van de winnaar van het EK.</v>
      </c>
    </row>
    <row r="28" spans="1:21" ht="14.1" customHeight="1" x14ac:dyDescent="0.25">
      <c r="B28" s="17"/>
      <c r="C28" s="1047"/>
      <c r="D28" s="16"/>
      <c r="E28" s="16"/>
      <c r="F28" s="16"/>
      <c r="G28" s="16"/>
      <c r="H28" s="16"/>
      <c r="I28" s="16"/>
      <c r="J28" s="16"/>
      <c r="K28" s="16"/>
      <c r="L28" s="16"/>
      <c r="M28" s="16"/>
      <c r="N28" s="1048"/>
      <c r="O28" s="1168"/>
      <c r="P28" s="1168"/>
      <c r="R28" s="220"/>
      <c r="S28" s="10">
        <f ca="1">IF(U26="",999,900)</f>
        <v>900</v>
      </c>
      <c r="T28" s="10" t="str">
        <f>""</f>
        <v/>
      </c>
      <c r="U28" s="10" t="str">
        <f>""</f>
        <v/>
      </c>
    </row>
    <row r="29" spans="1:21" ht="14.1" customHeight="1" x14ac:dyDescent="0.25">
      <c r="A29" s="420">
        <v>3</v>
      </c>
      <c r="B29" s="17"/>
      <c r="C29" s="1049"/>
      <c r="D29" s="58" t="str">
        <f t="shared" ref="D29:D68" ca="1" si="0">VLOOKUP($R29,$S$26:$U$69,2,FALSE)</f>
        <v/>
      </c>
      <c r="E29" s="1168" t="str">
        <f t="shared" ref="E29:E68" ca="1" si="1">VLOOKUP($R29,$S$26:$U$69,3,FALSE)</f>
        <v>HET VOORSPELLEN VAN DE LANDEN IN DE FINALEWEDSTRIJDEN</v>
      </c>
      <c r="F29" s="1168"/>
      <c r="G29" s="1168"/>
      <c r="H29" s="1168"/>
      <c r="I29" s="1168"/>
      <c r="J29" s="1168"/>
      <c r="K29" s="1168"/>
      <c r="L29" s="1168"/>
      <c r="M29" s="1168"/>
      <c r="N29" s="1169"/>
      <c r="O29" s="445"/>
      <c r="P29" s="445"/>
      <c r="R29" s="10">
        <f t="shared" ref="R29:R68" ca="1" si="2">IF(LEN($R$23)&lt;$A29,900,RIGHT(LEFT($R$23,$A29),3))*1</f>
        <v>100</v>
      </c>
      <c r="S29" s="10">
        <f ca="1">IF(U29="",999,102)</f>
        <v>102</v>
      </c>
      <c r="T29" s="10">
        <f>IF($Q$81=0,0,$H$118)</f>
        <v>10</v>
      </c>
      <c r="U29" s="5" t="str">
        <f ca="1">IF($Q$81=0,"",IF($H$118=1,Taal03!B$50,Taal03!B$51)&amp;" "&amp;Taal03!B58&amp;" ("&amp;IF($G$130="C",Taal03!B$55,Taal03!B$56)&amp;").")</f>
        <v>Punten voor elk goed voorspelde land in de finale (het land dient op de juiste positie te staan).</v>
      </c>
    </row>
    <row r="30" spans="1:21" ht="14.1" customHeight="1" x14ac:dyDescent="0.25">
      <c r="A30" s="420">
        <f>A29+3</f>
        <v>6</v>
      </c>
      <c r="B30" s="17"/>
      <c r="C30" s="1049"/>
      <c r="D30" s="58">
        <f t="shared" ca="1" si="0"/>
        <v>50</v>
      </c>
      <c r="E30" s="1168" t="str">
        <f t="shared" ca="1" si="1"/>
        <v>Punten voor het goed voorspellen van de winnaar van het EK.</v>
      </c>
      <c r="F30" s="1168"/>
      <c r="G30" s="1168"/>
      <c r="H30" s="1168"/>
      <c r="I30" s="1168"/>
      <c r="J30" s="1168"/>
      <c r="K30" s="1168"/>
      <c r="L30" s="1168"/>
      <c r="M30" s="1168"/>
      <c r="N30" s="1169"/>
      <c r="O30" s="445"/>
      <c r="P30" s="445"/>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420">
        <f t="shared" ref="A31:A68" si="3">A30+3</f>
        <v>9</v>
      </c>
      <c r="B31" s="17"/>
      <c r="C31" s="1049"/>
      <c r="D31" s="58" t="str">
        <f t="shared" ca="1" si="0"/>
        <v/>
      </c>
      <c r="E31" s="1168" t="str">
        <f t="shared" ca="1" si="1"/>
        <v/>
      </c>
      <c r="F31" s="1168"/>
      <c r="G31" s="1168"/>
      <c r="H31" s="1168"/>
      <c r="I31" s="1168"/>
      <c r="J31" s="1168"/>
      <c r="K31" s="1168"/>
      <c r="L31" s="1168"/>
      <c r="M31" s="1168"/>
      <c r="N31" s="1169"/>
      <c r="O31" s="445"/>
      <c r="P31" s="445"/>
      <c r="R31" s="10">
        <f t="shared" ca="1" si="2"/>
        <v>900</v>
      </c>
      <c r="S31" s="10">
        <f ca="1">IF(U31="",999,104)</f>
        <v>104</v>
      </c>
      <c r="T31" s="10">
        <f>IF($Q$81=0,0,$H$120)</f>
        <v>10</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420">
        <f t="shared" si="3"/>
        <v>12</v>
      </c>
      <c r="B32" s="17"/>
      <c r="C32" s="1049"/>
      <c r="D32" s="58">
        <f t="shared" ca="1" si="0"/>
        <v>10</v>
      </c>
      <c r="E32" s="1168" t="str">
        <f t="shared" ca="1" si="1"/>
        <v>Punten voor elk goed voorspelde land in de finale (het land dient op de juiste positie te staan).</v>
      </c>
      <c r="F32" s="1168"/>
      <c r="G32" s="1168"/>
      <c r="H32" s="1168"/>
      <c r="I32" s="1168"/>
      <c r="J32" s="1168"/>
      <c r="K32" s="1168"/>
      <c r="L32" s="1168"/>
      <c r="M32" s="1168"/>
      <c r="N32" s="1169"/>
      <c r="O32" s="445"/>
      <c r="P32" s="445"/>
      <c r="R32" s="10">
        <f t="shared" ca="1" si="2"/>
        <v>102</v>
      </c>
      <c r="S32" s="10">
        <f ca="1">IF(U32="",999,105)</f>
        <v>105</v>
      </c>
      <c r="T32" s="10">
        <f>IF($Q$81=0,0,$H$121)</f>
        <v>6</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420">
        <f t="shared" si="3"/>
        <v>15</v>
      </c>
      <c r="B33" s="17"/>
      <c r="C33" s="1049"/>
      <c r="D33" s="58">
        <f t="shared" ca="1" si="0"/>
        <v>10</v>
      </c>
      <c r="E33" s="1168" t="str">
        <f t="shared" ca="1" si="1"/>
        <v>Punten voor elk goed voorspelde land in de halve finales (het land dient op de juiste positie te staan).</v>
      </c>
      <c r="F33" s="1168"/>
      <c r="G33" s="1168"/>
      <c r="H33" s="1168"/>
      <c r="I33" s="1168"/>
      <c r="J33" s="1168"/>
      <c r="K33" s="1168"/>
      <c r="L33" s="1168"/>
      <c r="M33" s="1168"/>
      <c r="N33" s="1169"/>
      <c r="O33" s="445"/>
      <c r="P33" s="445"/>
      <c r="R33" s="10">
        <f t="shared" ca="1" si="2"/>
        <v>104</v>
      </c>
      <c r="S33" s="10">
        <f ca="1">IF(U33="",999,106)</f>
        <v>106</v>
      </c>
      <c r="T33" s="10">
        <f>IF($Q$81=0,0,$H$122)</f>
        <v>6</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420">
        <f t="shared" si="3"/>
        <v>18</v>
      </c>
      <c r="B34" s="17"/>
      <c r="C34" s="1049"/>
      <c r="D34" s="58">
        <f t="shared" ca="1" si="0"/>
        <v>6</v>
      </c>
      <c r="E34" s="1168" t="str">
        <f t="shared" ca="1" si="1"/>
        <v>Punten voor elk goed voorspelde land in de kwartfinales (het land dient op de juiste positie te staan).</v>
      </c>
      <c r="F34" s="1168"/>
      <c r="G34" s="1168"/>
      <c r="H34" s="1168"/>
      <c r="I34" s="1168"/>
      <c r="J34" s="1168"/>
      <c r="K34" s="1168"/>
      <c r="L34" s="1168"/>
      <c r="M34" s="1168"/>
      <c r="N34" s="1169"/>
      <c r="O34" s="445"/>
      <c r="P34" s="445"/>
      <c r="R34" s="10">
        <f t="shared" ca="1" si="2"/>
        <v>105</v>
      </c>
      <c r="S34" s="10">
        <f ca="1">IF(U26="",999,900)</f>
        <v>900</v>
      </c>
      <c r="T34" s="10" t="str">
        <f>""</f>
        <v/>
      </c>
      <c r="U34" s="10" t="str">
        <f>""</f>
        <v/>
      </c>
    </row>
    <row r="35" spans="1:21" ht="14.1" customHeight="1" x14ac:dyDescent="0.25">
      <c r="A35" s="420">
        <f t="shared" si="3"/>
        <v>21</v>
      </c>
      <c r="B35" s="17"/>
      <c r="C35" s="1049"/>
      <c r="D35" s="58">
        <f t="shared" ca="1" si="0"/>
        <v>6</v>
      </c>
      <c r="E35" s="1168" t="str">
        <f t="shared" ca="1" si="1"/>
        <v>Punten voor elk goed voorspelde land in de achtste finales (het land dient op de juiste positie te staan).</v>
      </c>
      <c r="F35" s="1168"/>
      <c r="G35" s="1168"/>
      <c r="H35" s="1168"/>
      <c r="I35" s="1168"/>
      <c r="J35" s="1168"/>
      <c r="K35" s="1168"/>
      <c r="L35" s="1168"/>
      <c r="M35" s="1168"/>
      <c r="N35" s="1169"/>
      <c r="O35" s="445"/>
      <c r="P35" s="445"/>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420">
        <f t="shared" si="3"/>
        <v>24</v>
      </c>
      <c r="B36" s="17"/>
      <c r="C36" s="1049"/>
      <c r="D36" s="58" t="str">
        <f t="shared" ca="1" si="0"/>
        <v/>
      </c>
      <c r="E36" s="1168" t="str">
        <f t="shared" ca="1" si="1"/>
        <v/>
      </c>
      <c r="F36" s="1168"/>
      <c r="G36" s="1168"/>
      <c r="H36" s="1168"/>
      <c r="I36" s="1168"/>
      <c r="J36" s="1168"/>
      <c r="K36" s="1168"/>
      <c r="L36" s="1168"/>
      <c r="M36" s="1168"/>
      <c r="N36" s="1169"/>
      <c r="O36" s="445"/>
      <c r="P36" s="445"/>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420">
        <f t="shared" si="3"/>
        <v>27</v>
      </c>
      <c r="B37" s="17"/>
      <c r="C37" s="1049"/>
      <c r="D37" s="58" t="str">
        <f t="shared" ca="1" si="0"/>
        <v>-</v>
      </c>
      <c r="E37" s="1168" t="str">
        <f t="shared" ca="1" si="1"/>
        <v>Heeft men het land niet op de juiste positie voorspeld maar het heeft wel de betreffende finaleronde</v>
      </c>
      <c r="F37" s="1168"/>
      <c r="G37" s="1168"/>
      <c r="H37" s="1168"/>
      <c r="I37" s="1168"/>
      <c r="J37" s="1168"/>
      <c r="K37" s="1168"/>
      <c r="L37" s="1168"/>
      <c r="M37" s="1168"/>
      <c r="N37" s="1169"/>
      <c r="O37" s="445"/>
      <c r="P37" s="445"/>
      <c r="R37" s="10">
        <f t="shared" ca="1" si="2"/>
        <v>107</v>
      </c>
      <c r="S37" s="10">
        <f ca="1">IF(U37="",999,109)</f>
        <v>109</v>
      </c>
      <c r="T37" s="218" t="str">
        <f>"-"</f>
        <v>-</v>
      </c>
      <c r="U37" s="5" t="str">
        <f ca="1">IF($Q$81=0,"",IF(OR($G$130="B",$G$130="C"),Taal03!B66,Taal03!B67))</f>
        <v>Het is niet toegestaan om een land meerdere keren te voorspellen in één finaleronde.</v>
      </c>
    </row>
    <row r="38" spans="1:21" ht="14.1" customHeight="1" x14ac:dyDescent="0.25">
      <c r="A38" s="420">
        <f t="shared" si="3"/>
        <v>30</v>
      </c>
      <c r="B38" s="17"/>
      <c r="C38" s="1049"/>
      <c r="D38" s="58" t="str">
        <f t="shared" ca="1" si="0"/>
        <v/>
      </c>
      <c r="E38" s="1168" t="str">
        <f t="shared" ca="1" si="1"/>
        <v>behaald dan ontvangt men alsnog de helft van het aantal punten voor het juist voorspellen van het land.</v>
      </c>
      <c r="F38" s="1168"/>
      <c r="G38" s="1168"/>
      <c r="H38" s="1168"/>
      <c r="I38" s="1168"/>
      <c r="J38" s="1168"/>
      <c r="K38" s="1168"/>
      <c r="L38" s="1168"/>
      <c r="M38" s="1168"/>
      <c r="N38" s="1169"/>
      <c r="O38" s="445"/>
      <c r="P38" s="445"/>
      <c r="R38" s="10">
        <f t="shared" ca="1" si="2"/>
        <v>108</v>
      </c>
      <c r="S38" s="10">
        <f ca="1">IF(U38="",999,110)</f>
        <v>110</v>
      </c>
      <c r="T38" s="218" t="str">
        <f>"-"</f>
        <v>-</v>
      </c>
      <c r="U38" s="5" t="str">
        <f ca="1">IF($Q$81=0,"",Taal03!B68)</f>
        <v>Punten voor het goed voorspellen van een land in de finaleronden worden pas meegeteld op het moment dat</v>
      </c>
    </row>
    <row r="39" spans="1:21" ht="14.1" customHeight="1" x14ac:dyDescent="0.25">
      <c r="A39" s="420">
        <f t="shared" si="3"/>
        <v>33</v>
      </c>
      <c r="B39" s="17"/>
      <c r="C39" s="1049"/>
      <c r="D39" s="58" t="str">
        <f t="shared" ca="1" si="0"/>
        <v>-</v>
      </c>
      <c r="E39" s="1168" t="str">
        <f t="shared" ca="1" si="1"/>
        <v>Het is niet toegestaan om een land meerdere keren te voorspellen in één finaleronde.</v>
      </c>
      <c r="F39" s="1168"/>
      <c r="G39" s="1168"/>
      <c r="H39" s="1168"/>
      <c r="I39" s="1168"/>
      <c r="J39" s="1168"/>
      <c r="K39" s="1168"/>
      <c r="L39" s="1168"/>
      <c r="M39" s="1168"/>
      <c r="N39" s="1169"/>
      <c r="O39" s="445"/>
      <c r="P39" s="445"/>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420">
        <f t="shared" si="3"/>
        <v>36</v>
      </c>
      <c r="B40" s="17"/>
      <c r="C40" s="1049"/>
      <c r="D40" s="58" t="str">
        <f t="shared" ca="1" si="0"/>
        <v>-</v>
      </c>
      <c r="E40" s="1168" t="str">
        <f t="shared" ca="1" si="1"/>
        <v>Punten voor het goed voorspellen van een land in de finaleronden worden pas meegeteld op het moment dat</v>
      </c>
      <c r="F40" s="1168"/>
      <c r="G40" s="1168"/>
      <c r="H40" s="1168"/>
      <c r="I40" s="1168"/>
      <c r="J40" s="1168"/>
      <c r="K40" s="1168"/>
      <c r="L40" s="1168"/>
      <c r="M40" s="1168"/>
      <c r="N40" s="1169"/>
      <c r="O40" s="445"/>
      <c r="P40" s="445"/>
      <c r="R40" s="10">
        <f t="shared" ca="1" si="2"/>
        <v>110</v>
      </c>
      <c r="S40" s="10">
        <f ca="1">IF(U26="",999,900)</f>
        <v>900</v>
      </c>
      <c r="T40" s="10" t="str">
        <f>""</f>
        <v/>
      </c>
      <c r="U40" s="10" t="str">
        <f>""</f>
        <v/>
      </c>
    </row>
    <row r="41" spans="1:21" ht="14.1" customHeight="1" x14ac:dyDescent="0.25">
      <c r="A41" s="420">
        <f t="shared" si="3"/>
        <v>39</v>
      </c>
      <c r="B41" s="17"/>
      <c r="C41" s="1049"/>
      <c r="D41" s="58" t="str">
        <f t="shared" ca="1" si="0"/>
        <v/>
      </c>
      <c r="E41" s="1168" t="str">
        <f t="shared" ca="1" si="1"/>
        <v>de uitslag van de betreffende wedstrijd bekend is of als het voorspelde land zijn wedstrijd heeft gespeeld.</v>
      </c>
      <c r="F41" s="1168"/>
      <c r="G41" s="1168"/>
      <c r="H41" s="1168"/>
      <c r="I41" s="1168"/>
      <c r="J41" s="1168"/>
      <c r="K41" s="1168"/>
      <c r="L41" s="1168"/>
      <c r="M41" s="1168"/>
      <c r="N41" s="1169"/>
      <c r="O41" s="445"/>
      <c r="P41" s="445"/>
      <c r="R41" s="10">
        <f t="shared" ca="1" si="2"/>
        <v>111</v>
      </c>
      <c r="S41" s="631">
        <f ca="1">IF(U41="",999,200)</f>
        <v>200</v>
      </c>
      <c r="T41" s="10" t="str">
        <f>""</f>
        <v/>
      </c>
      <c r="U41" s="175" t="str">
        <f ca="1">IF(OR($Q$81=0,$G$136="NEE"),"",UPPER(Taal03!B73))</f>
        <v>HET VOORSPELLEN VAN DE EINDSTAND IN DE GROEP</v>
      </c>
    </row>
    <row r="42" spans="1:21" ht="14.1" customHeight="1" x14ac:dyDescent="0.25">
      <c r="A42" s="420">
        <f t="shared" si="3"/>
        <v>42</v>
      </c>
      <c r="B42" s="17"/>
      <c r="C42" s="1049"/>
      <c r="D42" s="58" t="str">
        <f t="shared" ca="1" si="0"/>
        <v/>
      </c>
      <c r="E42" s="1168" t="str">
        <f t="shared" ca="1" si="1"/>
        <v/>
      </c>
      <c r="F42" s="1168"/>
      <c r="G42" s="1168"/>
      <c r="H42" s="1168"/>
      <c r="I42" s="1168"/>
      <c r="J42" s="1168"/>
      <c r="K42" s="1168"/>
      <c r="L42" s="1168"/>
      <c r="M42" s="1168"/>
      <c r="N42" s="1169"/>
      <c r="O42" s="445"/>
      <c r="P42" s="445"/>
      <c r="R42" s="10">
        <f t="shared" ca="1" si="2"/>
        <v>900</v>
      </c>
      <c r="S42" s="10">
        <f ca="1">IF(U42="",999,201)</f>
        <v>201</v>
      </c>
      <c r="T42" s="10">
        <f>IF(OR($Q$81=0,$G$136="NEE"),"",$H$123)</f>
        <v>6</v>
      </c>
      <c r="U42" s="5" t="str">
        <f ca="1">IF(OR($Q$81=0,$G$136="NEE"),"",IF($H$123=1,Taal03!B$50,Taal03!B$51)&amp;" "&amp;Taal03!B74)</f>
        <v>Punten voor elk goed voorspelde land bij de eindstand in de groep.</v>
      </c>
    </row>
    <row r="43" spans="1:21" ht="14.1" customHeight="1" x14ac:dyDescent="0.25">
      <c r="A43" s="420">
        <f t="shared" si="3"/>
        <v>45</v>
      </c>
      <c r="B43" s="17"/>
      <c r="C43" s="1049"/>
      <c r="D43" s="58" t="str">
        <f t="shared" ca="1" si="0"/>
        <v/>
      </c>
      <c r="E43" s="1168" t="str">
        <f t="shared" ca="1" si="1"/>
        <v>HET VOORSPELLEN VAN DE EINDSTAND IN DE GROEP</v>
      </c>
      <c r="F43" s="1168"/>
      <c r="G43" s="1168"/>
      <c r="H43" s="1168"/>
      <c r="I43" s="1168"/>
      <c r="J43" s="1168"/>
      <c r="K43" s="1168"/>
      <c r="L43" s="1168"/>
      <c r="M43" s="1168"/>
      <c r="N43" s="1169"/>
      <c r="O43" s="445"/>
      <c r="P43" s="445"/>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420">
        <f t="shared" si="3"/>
        <v>48</v>
      </c>
      <c r="B44" s="17"/>
      <c r="C44" s="1049"/>
      <c r="D44" s="58">
        <f t="shared" ca="1" si="0"/>
        <v>6</v>
      </c>
      <c r="E44" s="1168" t="str">
        <f t="shared" ca="1" si="1"/>
        <v>Punten voor elk goed voorspelde land bij de eindstand in de groep.</v>
      </c>
      <c r="F44" s="1168"/>
      <c r="G44" s="1168"/>
      <c r="H44" s="1168"/>
      <c r="I44" s="1168"/>
      <c r="J44" s="1168"/>
      <c r="K44" s="1168"/>
      <c r="L44" s="1168"/>
      <c r="M44" s="1168"/>
      <c r="N44" s="1169"/>
      <c r="O44" s="445"/>
      <c r="P44" s="445"/>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420">
        <f t="shared" si="3"/>
        <v>51</v>
      </c>
      <c r="B45" s="17"/>
      <c r="C45" s="1049"/>
      <c r="D45" s="58" t="str">
        <f t="shared" ca="1" si="0"/>
        <v>-</v>
      </c>
      <c r="E45" s="1168" t="str">
        <f t="shared" ca="1" si="1"/>
        <v>Elk land mag maar één keer ingevuld worden bij de voorspelling van de eindstand in de groep.</v>
      </c>
      <c r="F45" s="1168"/>
      <c r="G45" s="1168"/>
      <c r="H45" s="1168"/>
      <c r="I45" s="1168"/>
      <c r="J45" s="1168"/>
      <c r="K45" s="1168"/>
      <c r="L45" s="1168"/>
      <c r="M45" s="1168"/>
      <c r="N45" s="1169"/>
      <c r="O45" s="445"/>
      <c r="P45" s="445"/>
      <c r="R45" s="10">
        <f t="shared" ca="1" si="2"/>
        <v>202</v>
      </c>
      <c r="S45" s="10">
        <f ca="1">IF(U41="",999,900)</f>
        <v>900</v>
      </c>
      <c r="T45" s="10" t="str">
        <f>""</f>
        <v/>
      </c>
      <c r="U45" s="10" t="str">
        <f>""</f>
        <v/>
      </c>
    </row>
    <row r="46" spans="1:21" ht="14.1" customHeight="1" x14ac:dyDescent="0.25">
      <c r="A46" s="420">
        <f t="shared" si="3"/>
        <v>54</v>
      </c>
      <c r="B46" s="17"/>
      <c r="C46" s="1049"/>
      <c r="D46" s="58" t="str">
        <f t="shared" ca="1" si="0"/>
        <v>-</v>
      </c>
      <c r="E46" s="1168" t="str">
        <f t="shared" ca="1" si="1"/>
        <v>De punten voor elke juiste voorspelling worden pas opgeteld als de laatste wedstrijd van de groep is gespeeld.</v>
      </c>
      <c r="F46" s="1168"/>
      <c r="G46" s="1168"/>
      <c r="H46" s="1168"/>
      <c r="I46" s="1168"/>
      <c r="J46" s="1168"/>
      <c r="K46" s="1168"/>
      <c r="L46" s="1168"/>
      <c r="M46" s="1168"/>
      <c r="N46" s="1169"/>
      <c r="O46" s="445"/>
      <c r="P46" s="445"/>
      <c r="R46" s="10">
        <f t="shared" ca="1" si="2"/>
        <v>204</v>
      </c>
      <c r="S46" s="631">
        <f ca="1">IF(U46="",999,300)</f>
        <v>300</v>
      </c>
      <c r="T46" s="10" t="str">
        <f>""</f>
        <v/>
      </c>
      <c r="U46" s="175" t="str">
        <f ca="1">IF(OR($Q$81=0,$G$135="NEE"),"",IF(AND($G$134="JA",$G$135="JA",TYPE($H$126)&lt;&gt;1),UPPER(Taal03!B109),UPPER(Taal03!B79)))</f>
        <v>HET VOORSPELLEN VAN DE TOTO</v>
      </c>
    </row>
    <row r="47" spans="1:21" ht="14.1" customHeight="1" x14ac:dyDescent="0.25">
      <c r="A47" s="420">
        <f t="shared" si="3"/>
        <v>57</v>
      </c>
      <c r="B47" s="17"/>
      <c r="C47" s="1049"/>
      <c r="D47" s="58" t="str">
        <f t="shared" ca="1" si="0"/>
        <v/>
      </c>
      <c r="E47" s="1168" t="str">
        <f t="shared" ca="1" si="1"/>
        <v/>
      </c>
      <c r="F47" s="1168"/>
      <c r="G47" s="1168"/>
      <c r="H47" s="1168"/>
      <c r="I47" s="1168"/>
      <c r="J47" s="1168"/>
      <c r="K47" s="1168"/>
      <c r="L47" s="1168"/>
      <c r="M47" s="1168"/>
      <c r="N47" s="1169"/>
      <c r="O47" s="445"/>
      <c r="P47" s="445"/>
      <c r="R47" s="10">
        <f t="shared" ca="1" si="2"/>
        <v>900</v>
      </c>
      <c r="S47" s="10">
        <f ca="1">IF(U47="",999,301)</f>
        <v>301</v>
      </c>
      <c r="T47" s="10">
        <f>IF(OR($Q$81=0,$G$135="NEE"),"",$H$124)</f>
        <v>4</v>
      </c>
      <c r="U47" s="5" t="str">
        <f ca="1">IF(OR($Q$81=0,$G$135="NEE"),"",IF($H$124=1,Taal03!B$50,Taal03!B$51)&amp;" "&amp;IF(AND($G$134="JA",$G$135="JA",TYPE($H$126)&lt;&gt;1),Taal03!B110,Taal03!B80))</f>
        <v>Punten voor het goed voorspellen van de TOTO (winst / verlies of gelijkspel).</v>
      </c>
    </row>
    <row r="48" spans="1:21" ht="14.1" customHeight="1" x14ac:dyDescent="0.25">
      <c r="A48" s="420">
        <f t="shared" si="3"/>
        <v>60</v>
      </c>
      <c r="B48" s="17"/>
      <c r="C48" s="1049"/>
      <c r="D48" s="58" t="str">
        <f t="shared" ca="1" si="0"/>
        <v/>
      </c>
      <c r="E48" s="1168" t="str">
        <f t="shared" ca="1" si="1"/>
        <v>HET VOORSPELLEN VAN DE TOTO</v>
      </c>
      <c r="F48" s="1168"/>
      <c r="G48" s="1168"/>
      <c r="H48" s="1168"/>
      <c r="I48" s="1168"/>
      <c r="J48" s="1168"/>
      <c r="K48" s="1168"/>
      <c r="L48" s="1168"/>
      <c r="M48" s="1168"/>
      <c r="N48" s="1169"/>
      <c r="O48" s="445"/>
      <c r="P48" s="445"/>
      <c r="R48" s="10">
        <f t="shared" ca="1" si="2"/>
        <v>300</v>
      </c>
      <c r="S48" s="10">
        <f ca="1">IF(U48="",999,302)</f>
        <v>302</v>
      </c>
      <c r="T48" s="10" t="str">
        <f>IF(OR($Q$81=0,$G$135="NEE",$G$137="NEE"),"",IF(AND($G$134="JA",$G$135="JA",TYPE($H$126)&lt;&gt;1),"","-"))</f>
        <v>-</v>
      </c>
      <c r="U48" s="5" t="str">
        <f ca="1">IF(OR($Q$81=0,$G$135="NEE",$G$137="NEE"),"",IF(AND($G$134="JA",$G$135="JA",TYPE($H$126)&lt;&gt;1),"",IF($G$131="A",Taal03!B81,IF($G$131="B",Taal03!B82,Taal03!B83))))</f>
        <v>Bij de finalewedstrijden is het niet noodzakelijk om de landen juist voorspeld te hebben om aanspraak te maken</v>
      </c>
    </row>
    <row r="49" spans="1:21" ht="14.1" customHeight="1" x14ac:dyDescent="0.25">
      <c r="A49" s="420">
        <f t="shared" si="3"/>
        <v>63</v>
      </c>
      <c r="B49" s="17"/>
      <c r="C49" s="1049"/>
      <c r="D49" s="58">
        <f t="shared" ca="1" si="0"/>
        <v>4</v>
      </c>
      <c r="E49" s="1168" t="str">
        <f t="shared" ca="1" si="1"/>
        <v>Punten voor het goed voorspellen van de TOTO (winst / verlies of gelijkspel).</v>
      </c>
      <c r="F49" s="1168"/>
      <c r="G49" s="1168"/>
      <c r="H49" s="1168"/>
      <c r="I49" s="1168"/>
      <c r="J49" s="1168"/>
      <c r="K49" s="1168"/>
      <c r="L49" s="1168"/>
      <c r="M49" s="1168"/>
      <c r="N49" s="1169"/>
      <c r="O49" s="445"/>
      <c r="P49" s="445"/>
      <c r="R49" s="10">
        <f t="shared" ca="1" si="2"/>
        <v>301</v>
      </c>
      <c r="S49" s="10">
        <f ca="1">IF(U49="",999,303)</f>
        <v>303</v>
      </c>
      <c r="T49" s="10" t="str">
        <f>""</f>
        <v/>
      </c>
      <c r="U49" s="5" t="str">
        <f ca="1">IF(OR($Q$81=0,$G$135="NEE",$G$137="NEE"),"",IF(AND($G$134="JA",$G$135="JA",TYPE($H$126)&lt;&gt;1),"",Taal03!B84))</f>
        <v>op de punten voor het juist voorspellen van de TOTO.</v>
      </c>
    </row>
    <row r="50" spans="1:21" ht="14.1" customHeight="1" x14ac:dyDescent="0.25">
      <c r="A50" s="420">
        <f t="shared" si="3"/>
        <v>66</v>
      </c>
      <c r="B50" s="17"/>
      <c r="C50" s="1049"/>
      <c r="D50" s="58" t="str">
        <f t="shared" ca="1" si="0"/>
        <v>-</v>
      </c>
      <c r="E50" s="1168" t="str">
        <f t="shared" ca="1" si="1"/>
        <v>Bij de finalewedstrijden is het niet noodzakelijk om de landen juist voorspeld te hebben om aanspraak te maken</v>
      </c>
      <c r="F50" s="1168"/>
      <c r="G50" s="1168"/>
      <c r="H50" s="1168"/>
      <c r="I50" s="1168"/>
      <c r="J50" s="1168"/>
      <c r="K50" s="1168"/>
      <c r="L50" s="1168"/>
      <c r="M50" s="1168"/>
      <c r="N50" s="1169"/>
      <c r="O50" s="445"/>
      <c r="P50" s="445"/>
      <c r="R50" s="10">
        <f t="shared" ca="1" si="2"/>
        <v>302</v>
      </c>
      <c r="S50" s="10">
        <f ca="1">IF(OR(U46="",AND($G$134="JA",$G$135="JA",TYPE($H$126)&lt;&gt;1)),999,900)</f>
        <v>900</v>
      </c>
      <c r="T50" s="10" t="str">
        <f>""</f>
        <v/>
      </c>
      <c r="U50" s="10" t="str">
        <f>""</f>
        <v/>
      </c>
    </row>
    <row r="51" spans="1:21" ht="14.1" customHeight="1" x14ac:dyDescent="0.25">
      <c r="A51" s="420">
        <f t="shared" si="3"/>
        <v>69</v>
      </c>
      <c r="B51" s="17"/>
      <c r="C51" s="1049"/>
      <c r="D51" s="58" t="str">
        <f t="shared" ca="1" si="0"/>
        <v/>
      </c>
      <c r="E51" s="1168" t="str">
        <f t="shared" ca="1" si="1"/>
        <v>op de punten voor het juist voorspellen van de TOTO.</v>
      </c>
      <c r="F51" s="1168"/>
      <c r="G51" s="1168"/>
      <c r="H51" s="1168"/>
      <c r="I51" s="1168"/>
      <c r="J51" s="1168"/>
      <c r="K51" s="1168"/>
      <c r="L51" s="1168"/>
      <c r="M51" s="1168"/>
      <c r="N51" s="1169"/>
      <c r="O51" s="445"/>
      <c r="P51" s="445"/>
      <c r="R51" s="10">
        <f t="shared" ca="1" si="2"/>
        <v>303</v>
      </c>
      <c r="S51" s="631">
        <f>IF(U51="",999,400)</f>
        <v>999</v>
      </c>
      <c r="T51" s="10" t="str">
        <f>""</f>
        <v/>
      </c>
      <c r="U51" s="175" t="str">
        <f>IF(OR($Q$81=0,$G$134="NEE"),"",IF(AND($G$134="JA",$G$135="JA",TYPE($H$126)&lt;&gt;1),"",UPPER(Taal03!B87)))</f>
        <v/>
      </c>
    </row>
    <row r="52" spans="1:21" ht="14.1" customHeight="1" x14ac:dyDescent="0.25">
      <c r="A52" s="420">
        <f t="shared" si="3"/>
        <v>72</v>
      </c>
      <c r="B52" s="17"/>
      <c r="C52" s="1049"/>
      <c r="D52" s="58" t="str">
        <f t="shared" ca="1" si="0"/>
        <v/>
      </c>
      <c r="E52" s="1168" t="str">
        <f t="shared" ca="1" si="1"/>
        <v/>
      </c>
      <c r="F52" s="1168"/>
      <c r="G52" s="1168"/>
      <c r="H52" s="1168"/>
      <c r="I52" s="1168"/>
      <c r="J52" s="1168"/>
      <c r="K52" s="1168"/>
      <c r="L52" s="1168"/>
      <c r="M52" s="1168"/>
      <c r="N52" s="1169"/>
      <c r="O52" s="445"/>
      <c r="P52" s="445"/>
      <c r="R52" s="10">
        <f t="shared" ca="1" si="2"/>
        <v>900</v>
      </c>
      <c r="S52" s="10">
        <f>IF(U52="",999,401)</f>
        <v>999</v>
      </c>
      <c r="T52" s="10" t="str">
        <f>IF(OR($Q$81=0,$G$134="NEE",TYPE($H$126)=1),"",$H$125)</f>
        <v/>
      </c>
      <c r="U52" s="5" t="str">
        <f>IF(OR($Q$81=0,$G$134="NEE",TYPE($H$126)=1,T52=0),"",IF($H$125=1,Taal03!B$50,Taal03!B$51)&amp;" "&amp;IF(AND($G$134="JA",$G$135="JA"),IF($H$132="NEE",Taal03!B111,Taal03!B112),IF($H$132="NEE",Taal03!B88,Taal03!B89)))</f>
        <v/>
      </c>
    </row>
    <row r="53" spans="1:21" ht="14.1" customHeight="1" x14ac:dyDescent="0.25">
      <c r="A53" s="420">
        <f t="shared" si="3"/>
        <v>75</v>
      </c>
      <c r="B53" s="17"/>
      <c r="C53" s="1049"/>
      <c r="D53" s="58" t="str">
        <f t="shared" ca="1" si="0"/>
        <v/>
      </c>
      <c r="E53" s="1168" t="str">
        <f t="shared" ca="1" si="1"/>
        <v>DE BONUSVRAGEN</v>
      </c>
      <c r="F53" s="1168"/>
      <c r="G53" s="1168"/>
      <c r="H53" s="1168"/>
      <c r="I53" s="1168"/>
      <c r="J53" s="1168"/>
      <c r="K53" s="1168"/>
      <c r="L53" s="1168"/>
      <c r="M53" s="1168"/>
      <c r="N53" s="1169"/>
      <c r="O53" s="445"/>
      <c r="P53" s="445"/>
      <c r="R53" s="10">
        <f t="shared" ca="1" si="2"/>
        <v>600</v>
      </c>
      <c r="S53" s="10">
        <f>IF(U53="",999,402)</f>
        <v>999</v>
      </c>
      <c r="T53" s="10" t="str">
        <f>""</f>
        <v/>
      </c>
      <c r="U53" s="5" t="str">
        <f>IF(OR($Q$81=0,$G$134="NEE",$H$132="NEE",TYPE($H$126)=1,T52=0),"",IF(AND($G$134="JA",$G$135="JA"),Taal03!B113,Taal03!B90))</f>
        <v/>
      </c>
    </row>
    <row r="54" spans="1:21" ht="14.1" customHeight="1" x14ac:dyDescent="0.25">
      <c r="A54" s="420">
        <f t="shared" si="3"/>
        <v>78</v>
      </c>
      <c r="B54" s="17"/>
      <c r="C54" s="1049"/>
      <c r="D54" s="58" t="str">
        <f t="shared" ca="1" si="0"/>
        <v>-</v>
      </c>
      <c r="E54" s="1168" t="str">
        <f t="shared" ca="1" si="1"/>
        <v>Zie het werkblad met de bonusvragen voor de puntentelling bij het juist beantwoorden van de bonusvragen.</v>
      </c>
      <c r="F54" s="1168"/>
      <c r="G54" s="1168"/>
      <c r="H54" s="1168"/>
      <c r="I54" s="1168"/>
      <c r="J54" s="1168"/>
      <c r="K54" s="1168"/>
      <c r="L54" s="1168"/>
      <c r="M54" s="1168"/>
      <c r="N54" s="1169"/>
      <c r="O54" s="445"/>
      <c r="P54" s="445"/>
      <c r="R54" s="10">
        <f t="shared" ca="1" si="2"/>
        <v>601</v>
      </c>
      <c r="S54" s="10">
        <f>IF(U54="",999,403)</f>
        <v>999</v>
      </c>
      <c r="T54" s="10" t="str">
        <f>IF(OR($Q$81=0,$G$134="NEE"),"",IF(AND($G$134="JA",TYPE($H$126)=1),$H$126,IF(AND($G$137="JA",$G$138="JA"),"-","")))</f>
        <v/>
      </c>
      <c r="U54" s="5" t="str">
        <f>IF(OR($Q$81=0,$G$134="NEE"),"",IF(AND($G$134="JA",TYPE($H$126)=1),IF($H$126=1,Taal03!B$50,Taal03!B$51)&amp;" "&amp;IF(AND($G$131="B",$G$133="B"),Taal03!B92,Taal03!B91),IF(AND($G$137="JA",$G$138="JA",TYPE($H$126)&lt;&gt;1),IF(OR($G$131="A",AND($H$124=0,$G$133="A")),Taal03!B114,IF($G$131="B",Taal03!B115,IF(AND($H$124=0,$G$133="B"),Taal03!B119,Taal03!B116))),"")))</f>
        <v/>
      </c>
    </row>
    <row r="55" spans="1:21" ht="14.1" customHeight="1" x14ac:dyDescent="0.25">
      <c r="A55" s="420">
        <f t="shared" si="3"/>
        <v>81</v>
      </c>
      <c r="B55" s="17"/>
      <c r="C55" s="1049"/>
      <c r="D55" s="58" t="str">
        <f t="shared" ca="1" si="0"/>
        <v>-</v>
      </c>
      <c r="E55" s="1168" t="str">
        <f t="shared" ca="1" si="1"/>
        <v>De punten voor de bonusvragen worden pas meegeteld als de winnaar van het EK bekend is.</v>
      </c>
      <c r="F55" s="1168"/>
      <c r="G55" s="1168"/>
      <c r="H55" s="1168"/>
      <c r="I55" s="1168"/>
      <c r="J55" s="1168"/>
      <c r="K55" s="1168"/>
      <c r="L55" s="1168"/>
      <c r="M55" s="1168"/>
      <c r="N55" s="1169"/>
      <c r="O55" s="445"/>
      <c r="P55" s="445"/>
      <c r="R55" s="10">
        <f t="shared" ca="1" si="2"/>
        <v>602</v>
      </c>
      <c r="S55" s="10">
        <f>IF(U55="",999,404)</f>
        <v>999</v>
      </c>
      <c r="T55" s="10" t="str">
        <f>""</f>
        <v/>
      </c>
      <c r="U55" s="306" t="str">
        <f>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
      </c>
    </row>
    <row r="56" spans="1:21" ht="14.1" customHeight="1" x14ac:dyDescent="0.25">
      <c r="A56" s="420">
        <f t="shared" si="3"/>
        <v>84</v>
      </c>
      <c r="B56" s="17"/>
      <c r="C56" s="1049"/>
      <c r="D56" s="58" t="str">
        <f t="shared" ca="1" si="0"/>
        <v/>
      </c>
      <c r="E56" s="1168" t="str">
        <f t="shared" ca="1" si="1"/>
        <v/>
      </c>
      <c r="F56" s="1168"/>
      <c r="G56" s="1168"/>
      <c r="H56" s="1168"/>
      <c r="I56" s="1168"/>
      <c r="J56" s="1168"/>
      <c r="K56" s="1168"/>
      <c r="L56" s="1168"/>
      <c r="M56" s="1168"/>
      <c r="N56" s="1169"/>
      <c r="O56" s="445"/>
      <c r="P56" s="445"/>
      <c r="R56" s="10">
        <f t="shared" ca="1" si="2"/>
        <v>900</v>
      </c>
      <c r="S56" s="10">
        <f>IF(U56="",999,405)</f>
        <v>999</v>
      </c>
      <c r="T56" s="10" t="str">
        <f>IF(OR($Q$81=0,$G$137="NEE"),"",IF(AND($G$134="JA",$G$138="JA",G131="B",G133="B"),"-",""))</f>
        <v/>
      </c>
      <c r="U56" s="30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420">
        <f t="shared" si="3"/>
        <v>87</v>
      </c>
      <c r="B57" s="17"/>
      <c r="C57" s="1049"/>
      <c r="D57" s="58" t="str">
        <f t="shared" ca="1" si="0"/>
        <v/>
      </c>
      <c r="E57" s="1168" t="str">
        <f t="shared" ca="1" si="1"/>
        <v/>
      </c>
      <c r="F57" s="1168"/>
      <c r="G57" s="1168"/>
      <c r="H57" s="1168"/>
      <c r="I57" s="1168"/>
      <c r="J57" s="1168"/>
      <c r="K57" s="1168"/>
      <c r="L57" s="1168"/>
      <c r="M57" s="1168"/>
      <c r="N57" s="1169"/>
      <c r="O57" s="445"/>
      <c r="P57" s="445"/>
      <c r="R57" s="10">
        <f t="shared" ca="1" si="2"/>
        <v>900</v>
      </c>
      <c r="S57" s="10">
        <f>IF(U57="",999,406)</f>
        <v>999</v>
      </c>
      <c r="T57" s="10" t="str">
        <f>""</f>
        <v/>
      </c>
      <c r="U57" s="5" t="str">
        <f>IF(OR($Q$81=0,$G$134="NEE",TYPE($H$126)&lt;&gt;1),"","  ●  "&amp;IF(OR(AND($G$131="B",$G$133="B"),AND($G$135="NEE",$G$133= "B")),Taal03!B106,Taal03!B105))</f>
        <v/>
      </c>
    </row>
    <row r="58" spans="1:21" ht="14.1" customHeight="1" x14ac:dyDescent="0.25">
      <c r="A58" s="420">
        <f t="shared" si="3"/>
        <v>90</v>
      </c>
      <c r="B58" s="17"/>
      <c r="C58" s="1049"/>
      <c r="D58" s="58" t="str">
        <f t="shared" ca="1" si="0"/>
        <v/>
      </c>
      <c r="E58" s="1168" t="str">
        <f t="shared" ca="1" si="1"/>
        <v/>
      </c>
      <c r="F58" s="1168"/>
      <c r="G58" s="1168"/>
      <c r="H58" s="1168"/>
      <c r="I58" s="1168"/>
      <c r="J58" s="1168"/>
      <c r="K58" s="1168"/>
      <c r="L58" s="1168"/>
      <c r="M58" s="1168"/>
      <c r="N58" s="1169"/>
      <c r="O58" s="445"/>
      <c r="P58" s="445"/>
      <c r="R58" s="10">
        <f t="shared" ca="1" si="2"/>
        <v>900</v>
      </c>
      <c r="S58" s="10">
        <f>IF(U51="",IF(AND($G$134="JA",$G$135="JA"),900,999),900)</f>
        <v>999</v>
      </c>
      <c r="T58" s="10" t="str">
        <f>""</f>
        <v/>
      </c>
      <c r="U58" s="10" t="str">
        <f>""</f>
        <v/>
      </c>
    </row>
    <row r="59" spans="1:21" ht="14.1" customHeight="1" x14ac:dyDescent="0.25">
      <c r="A59" s="420">
        <f t="shared" si="3"/>
        <v>93</v>
      </c>
      <c r="B59" s="17"/>
      <c r="C59" s="1049"/>
      <c r="D59" s="58" t="str">
        <f t="shared" ca="1" si="0"/>
        <v/>
      </c>
      <c r="E59" s="1168" t="str">
        <f t="shared" ca="1" si="1"/>
        <v/>
      </c>
      <c r="F59" s="1168"/>
      <c r="G59" s="1168"/>
      <c r="H59" s="1168"/>
      <c r="I59" s="1168"/>
      <c r="J59" s="1168"/>
      <c r="K59" s="1168"/>
      <c r="L59" s="1168"/>
      <c r="M59" s="1168"/>
      <c r="N59" s="1169"/>
      <c r="O59" s="445"/>
      <c r="P59" s="445"/>
      <c r="R59" s="10">
        <f t="shared" ca="1" si="2"/>
        <v>900</v>
      </c>
      <c r="S59" s="631">
        <f>IF(U59="",999,500)</f>
        <v>999</v>
      </c>
      <c r="T59" s="10" t="str">
        <f>""</f>
        <v/>
      </c>
      <c r="U59" s="175" t="str">
        <f>IF(OR($Q$81=0,AND(TYPE($H$127)&lt;&gt;1,TYPE($H$128)&lt;&gt;1)),"",UPPER(Taal03!B125))</f>
        <v/>
      </c>
    </row>
    <row r="60" spans="1:21" ht="14.1" customHeight="1" x14ac:dyDescent="0.25">
      <c r="A60" s="420">
        <f t="shared" si="3"/>
        <v>96</v>
      </c>
      <c r="B60" s="17"/>
      <c r="C60" s="1049"/>
      <c r="D60" s="58" t="str">
        <f t="shared" ca="1" si="0"/>
        <v/>
      </c>
      <c r="E60" s="1168" t="str">
        <f t="shared" ca="1" si="1"/>
        <v/>
      </c>
      <c r="F60" s="1168"/>
      <c r="G60" s="1168"/>
      <c r="H60" s="1168"/>
      <c r="I60" s="1168"/>
      <c r="J60" s="1168"/>
      <c r="K60" s="1168"/>
      <c r="L60" s="1168"/>
      <c r="M60" s="1168"/>
      <c r="N60" s="1169"/>
      <c r="O60" s="445"/>
      <c r="P60" s="445"/>
      <c r="R60" s="10">
        <f t="shared" ca="1" si="2"/>
        <v>900</v>
      </c>
      <c r="S60" s="219">
        <f>IF(U60="",999,501)</f>
        <v>999</v>
      </c>
      <c r="T60" s="219" t="str">
        <f>IF(OR($Q$81=0,TYPE($H$127)&lt;&gt;1),"",$H$127)</f>
        <v/>
      </c>
      <c r="U60" s="30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420">
        <f t="shared" si="3"/>
        <v>99</v>
      </c>
      <c r="B61" s="17"/>
      <c r="C61" s="1049"/>
      <c r="D61" s="58" t="str">
        <f t="shared" ca="1" si="0"/>
        <v/>
      </c>
      <c r="E61" s="1168" t="str">
        <f t="shared" ca="1" si="1"/>
        <v/>
      </c>
      <c r="F61" s="1168"/>
      <c r="G61" s="1168"/>
      <c r="H61" s="1168"/>
      <c r="I61" s="1168"/>
      <c r="J61" s="1168"/>
      <c r="K61" s="1168"/>
      <c r="L61" s="1168"/>
      <c r="M61" s="1168"/>
      <c r="N61" s="1169"/>
      <c r="O61" s="445"/>
      <c r="P61" s="445"/>
      <c r="R61" s="10">
        <f t="shared" ca="1" si="2"/>
        <v>900</v>
      </c>
      <c r="S61" s="219">
        <f>IF(U61="",999,502)</f>
        <v>999</v>
      </c>
      <c r="T61" s="219" t="str">
        <f>""</f>
        <v/>
      </c>
      <c r="U61" s="30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420">
        <f t="shared" si="3"/>
        <v>102</v>
      </c>
      <c r="B62" s="17"/>
      <c r="C62" s="1049"/>
      <c r="D62" s="58" t="str">
        <f t="shared" ca="1" si="0"/>
        <v/>
      </c>
      <c r="E62" s="1168" t="str">
        <f t="shared" ca="1" si="1"/>
        <v/>
      </c>
      <c r="F62" s="1168"/>
      <c r="G62" s="1168"/>
      <c r="H62" s="1168"/>
      <c r="I62" s="1168"/>
      <c r="J62" s="1168"/>
      <c r="K62" s="1168"/>
      <c r="L62" s="1168"/>
      <c r="M62" s="1168"/>
      <c r="N62" s="1169"/>
      <c r="O62" s="445"/>
      <c r="P62" s="445"/>
      <c r="R62" s="10">
        <f t="shared" ca="1" si="2"/>
        <v>900</v>
      </c>
      <c r="S62" s="219">
        <f>IF(U62="",999,503)</f>
        <v>999</v>
      </c>
      <c r="T62" s="219" t="str">
        <f>IF(OR($Q$81=0,TYPE($H$128)&lt;&gt;1),"",$H$128)</f>
        <v/>
      </c>
      <c r="U62" s="30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420">
        <f t="shared" si="3"/>
        <v>105</v>
      </c>
      <c r="B63" s="17"/>
      <c r="C63" s="1049"/>
      <c r="D63" s="58" t="str">
        <f t="shared" ca="1" si="0"/>
        <v/>
      </c>
      <c r="E63" s="1168" t="str">
        <f t="shared" ca="1" si="1"/>
        <v/>
      </c>
      <c r="F63" s="1168"/>
      <c r="G63" s="1168"/>
      <c r="H63" s="1168"/>
      <c r="I63" s="1168"/>
      <c r="J63" s="1168"/>
      <c r="K63" s="1168"/>
      <c r="L63" s="1168"/>
      <c r="M63" s="1168"/>
      <c r="N63" s="1169"/>
      <c r="O63" s="445"/>
      <c r="P63" s="445"/>
      <c r="R63" s="10">
        <f t="shared" ca="1" si="2"/>
        <v>900</v>
      </c>
      <c r="S63" s="219">
        <f>IF(U63="",999,504)</f>
        <v>999</v>
      </c>
      <c r="T63" s="219" t="str">
        <f>""</f>
        <v/>
      </c>
      <c r="U63" s="30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420">
        <f t="shared" si="3"/>
        <v>108</v>
      </c>
      <c r="B64" s="17"/>
      <c r="C64" s="1049"/>
      <c r="D64" s="58" t="str">
        <f t="shared" ca="1" si="0"/>
        <v/>
      </c>
      <c r="E64" s="1168" t="str">
        <f t="shared" ca="1" si="1"/>
        <v/>
      </c>
      <c r="F64" s="1168"/>
      <c r="G64" s="1168"/>
      <c r="H64" s="1168"/>
      <c r="I64" s="1168"/>
      <c r="J64" s="1168"/>
      <c r="K64" s="1168"/>
      <c r="L64" s="1168"/>
      <c r="M64" s="1168"/>
      <c r="N64" s="1169"/>
      <c r="O64" s="445"/>
      <c r="P64" s="445"/>
      <c r="R64" s="10">
        <f t="shared" ca="1" si="2"/>
        <v>900</v>
      </c>
      <c r="S64" s="219">
        <f>IF(U64="",999,505)</f>
        <v>999</v>
      </c>
      <c r="T64" s="219" t="str">
        <f>IF(OR($Q$81=0,TYPE($H$129)&lt;&gt;1),"",$H$129)</f>
        <v/>
      </c>
      <c r="U64" s="30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420">
        <f t="shared" si="3"/>
        <v>111</v>
      </c>
      <c r="B65" s="17"/>
      <c r="C65" s="1049"/>
      <c r="D65" s="58" t="str">
        <f t="shared" ca="1" si="0"/>
        <v/>
      </c>
      <c r="E65" s="1168" t="str">
        <f t="shared" ca="1" si="1"/>
        <v/>
      </c>
      <c r="F65" s="1168"/>
      <c r="G65" s="1168"/>
      <c r="H65" s="1168"/>
      <c r="I65" s="1168"/>
      <c r="J65" s="1168"/>
      <c r="K65" s="1168"/>
      <c r="L65" s="1168"/>
      <c r="M65" s="1168"/>
      <c r="N65" s="1169"/>
      <c r="O65" s="445"/>
      <c r="P65" s="445"/>
      <c r="R65" s="10">
        <f t="shared" ca="1" si="2"/>
        <v>900</v>
      </c>
      <c r="S65" s="219">
        <f>IF(U65="",999,506)</f>
        <v>999</v>
      </c>
      <c r="T65" s="219" t="str">
        <f>""</f>
        <v/>
      </c>
      <c r="U65" s="30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420">
        <f t="shared" si="3"/>
        <v>114</v>
      </c>
      <c r="B66" s="17"/>
      <c r="C66" s="1049"/>
      <c r="D66" s="58" t="str">
        <f t="shared" ca="1" si="0"/>
        <v/>
      </c>
      <c r="E66" s="1168" t="str">
        <f t="shared" ca="1" si="1"/>
        <v/>
      </c>
      <c r="F66" s="1168"/>
      <c r="G66" s="1168"/>
      <c r="H66" s="1168"/>
      <c r="I66" s="1168"/>
      <c r="J66" s="1168"/>
      <c r="K66" s="1168"/>
      <c r="L66" s="1168"/>
      <c r="M66" s="1168"/>
      <c r="N66" s="1169"/>
      <c r="O66" s="445"/>
      <c r="P66" s="445"/>
      <c r="R66" s="10">
        <f t="shared" ca="1" si="2"/>
        <v>900</v>
      </c>
      <c r="S66" s="10">
        <f>IF(U59="",999,900)</f>
        <v>999</v>
      </c>
      <c r="T66" s="10" t="str">
        <f>""</f>
        <v/>
      </c>
      <c r="U66" s="10" t="str">
        <f>""</f>
        <v/>
      </c>
    </row>
    <row r="67" spans="1:21" ht="14.1" customHeight="1" x14ac:dyDescent="0.25">
      <c r="A67" s="420">
        <f t="shared" si="3"/>
        <v>117</v>
      </c>
      <c r="B67" s="17"/>
      <c r="C67" s="1049"/>
      <c r="D67" s="58" t="str">
        <f t="shared" ca="1" si="0"/>
        <v/>
      </c>
      <c r="E67" s="1168" t="str">
        <f t="shared" ca="1" si="1"/>
        <v/>
      </c>
      <c r="F67" s="1168"/>
      <c r="G67" s="1168"/>
      <c r="H67" s="1168"/>
      <c r="I67" s="1168"/>
      <c r="J67" s="1168"/>
      <c r="K67" s="1168"/>
      <c r="L67" s="1168"/>
      <c r="M67" s="1168"/>
      <c r="N67" s="1169"/>
      <c r="O67" s="445"/>
      <c r="P67" s="445"/>
      <c r="R67" s="10">
        <f t="shared" ca="1" si="2"/>
        <v>900</v>
      </c>
      <c r="S67" s="631">
        <f ca="1">IF(U67="",999,600)</f>
        <v>600</v>
      </c>
      <c r="T67" s="10" t="str">
        <f>""</f>
        <v/>
      </c>
      <c r="U67" s="175" t="str">
        <f ca="1">IF(OR($Q$81=0,$G$139="NEE"),"",UPPER(Taal03!B150))</f>
        <v>DE BONUSVRAGEN</v>
      </c>
    </row>
    <row r="68" spans="1:21" ht="14.1" customHeight="1" x14ac:dyDescent="0.25">
      <c r="A68" s="420">
        <f t="shared" si="3"/>
        <v>120</v>
      </c>
      <c r="B68" s="17"/>
      <c r="C68" s="1049"/>
      <c r="D68" s="58" t="str">
        <f t="shared" ca="1" si="0"/>
        <v/>
      </c>
      <c r="E68" s="1168" t="str">
        <f t="shared" ca="1" si="1"/>
        <v/>
      </c>
      <c r="F68" s="1168"/>
      <c r="G68" s="1168"/>
      <c r="H68" s="1168"/>
      <c r="I68" s="1168"/>
      <c r="J68" s="1168"/>
      <c r="K68" s="1168"/>
      <c r="L68" s="1168"/>
      <c r="M68" s="1168"/>
      <c r="N68" s="1169"/>
      <c r="O68" s="445"/>
      <c r="P68" s="445"/>
      <c r="R68" s="10">
        <f t="shared" ca="1" si="2"/>
        <v>900</v>
      </c>
      <c r="S68" s="10">
        <f ca="1">IF(U68="",999,601)</f>
        <v>601</v>
      </c>
      <c r="T68" s="10" t="str">
        <f>IF(OR($Q$81=0,G173="NEE"),"","-")</f>
        <v>-</v>
      </c>
      <c r="U68" s="5" t="str">
        <f ca="1">IF(OR($Q$81=0,$G$139="NEE"),"",IF($R$71=RIGHT($S$71,2),Taal03!B151,Taal03!B152))</f>
        <v>Zie het werkblad met de bonusvragen voor de puntentelling bij het juist beantwoorden van de bonusvragen.</v>
      </c>
    </row>
    <row r="69" spans="1:21" ht="14.1" customHeight="1" x14ac:dyDescent="0.25">
      <c r="B69" s="17"/>
      <c r="C69" s="1050"/>
      <c r="D69" s="1218" t="str">
        <f ca="1">Taal03!B155</f>
        <v/>
      </c>
      <c r="E69" s="1218"/>
      <c r="F69" s="1218"/>
      <c r="G69" s="1218"/>
      <c r="H69" s="1218"/>
      <c r="I69" s="1218"/>
      <c r="J69" s="1218"/>
      <c r="K69" s="1218"/>
      <c r="L69" s="1218"/>
      <c r="M69" s="1218"/>
      <c r="N69" s="1052"/>
      <c r="O69" s="1168"/>
      <c r="P69" s="1168"/>
      <c r="R69" s="10"/>
      <c r="S69" s="10">
        <f ca="1">IF(U69="",999,602)</f>
        <v>602</v>
      </c>
      <c r="T69" s="10" t="str">
        <f>IF(OR($Q$81=0,G173="NEE"),"","-")</f>
        <v>-</v>
      </c>
      <c r="U69" s="5" t="str">
        <f ca="1">IF(OR($Q$81=0,$G$139="NEE"),"",Taal03!B153)</f>
        <v>De punten voor de bonusvragen worden pas meegeteld als de winnaar van het EK bekend is.</v>
      </c>
    </row>
    <row r="70" spans="1:21" ht="15" customHeight="1" x14ac:dyDescent="0.25">
      <c r="B70" s="17"/>
      <c r="C70" s="17"/>
      <c r="D70" s="17"/>
      <c r="E70" s="17"/>
      <c r="F70" s="17"/>
      <c r="G70" s="17"/>
      <c r="H70" s="17"/>
      <c r="I70" s="17"/>
      <c r="J70" s="17"/>
      <c r="K70" s="17"/>
      <c r="L70" s="17"/>
      <c r="M70" s="17"/>
      <c r="N70" s="17"/>
      <c r="O70" s="1168"/>
      <c r="P70" s="1168"/>
      <c r="R70" s="176"/>
      <c r="S70" s="173"/>
      <c r="T70" s="217"/>
      <c r="U70" s="217"/>
    </row>
    <row r="71" spans="1:21" ht="15" customHeight="1" x14ac:dyDescent="0.25">
      <c r="B71" s="17"/>
      <c r="C71" s="1086"/>
      <c r="D71" s="1076" t="s">
        <v>90</v>
      </c>
      <c r="E71" s="1087"/>
      <c r="F71" s="1087"/>
      <c r="G71" s="1087"/>
      <c r="H71" s="1087"/>
      <c r="I71" s="1087"/>
      <c r="J71" s="1087"/>
      <c r="K71" s="1087"/>
      <c r="L71" s="1087"/>
      <c r="M71" s="1078" t="str">
        <f>S71</f>
        <v>©2024 Eric de Jong v24.00hd</v>
      </c>
      <c r="N71" s="1088"/>
      <c r="O71" s="1168"/>
      <c r="P71" s="1168"/>
      <c r="R71" s="176" t="str">
        <f>IF(OR(RIGHT(S71,1)= "a",RIGHT(S71,1)= "b",RIGHT(S71,1)= "c"),"#",LEFT(RIGHT(S71,2),1)&amp;CHAR(CODE(RIGHT(S71,1))-IF(ISEVEN(CODE(RIGHT(S71,1))),0,1)))</f>
        <v>hd</v>
      </c>
      <c r="S71" s="1215" t="s">
        <v>2593</v>
      </c>
      <c r="T71" s="1215"/>
      <c r="U71" s="1215"/>
    </row>
    <row r="72" spans="1:21" ht="15" customHeight="1" x14ac:dyDescent="0.25">
      <c r="B72" s="17"/>
      <c r="C72" s="17"/>
      <c r="D72" s="17"/>
      <c r="E72" s="17"/>
      <c r="F72" s="17"/>
      <c r="G72" s="17"/>
      <c r="H72" s="17"/>
      <c r="I72" s="17"/>
      <c r="J72" s="17"/>
      <c r="K72" s="17"/>
      <c r="L72" s="17"/>
      <c r="M72" s="17"/>
      <c r="N72" s="17"/>
      <c r="O72" s="1168"/>
      <c r="P72" s="1168"/>
      <c r="R72" s="176"/>
      <c r="S72" s="173"/>
      <c r="T72" s="217"/>
      <c r="U72" s="217"/>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9"/>
      <c r="C81" s="100" t="s">
        <v>29</v>
      </c>
      <c r="D81" s="83"/>
      <c r="E81" s="83"/>
      <c r="F81" s="83"/>
      <c r="G81" s="83"/>
      <c r="H81" s="83"/>
      <c r="I81" s="83"/>
      <c r="J81" s="83"/>
      <c r="K81" s="83"/>
      <c r="L81" s="83"/>
      <c r="M81" s="101" t="s">
        <v>44</v>
      </c>
      <c r="N81" s="1196">
        <f>IF(Q81=1,IF(OR(RIGHT(LEFT(F82,3),1)="d",RIGHT(LEFT(F82,3),1)="h"),1,0),0)</f>
        <v>1</v>
      </c>
      <c r="O81" s="1197"/>
      <c r="P81" s="1198" t="s">
        <v>93</v>
      </c>
      <c r="Q81" s="134">
        <f>IF(AND(Q82*Q83*Q84=1,Q85=Q86),1,0)</f>
        <v>1</v>
      </c>
      <c r="R81" s="133" t="s">
        <v>166</v>
      </c>
      <c r="S81" s="209"/>
      <c r="T81" s="133"/>
      <c r="U81" s="128"/>
    </row>
    <row r="82" spans="2:21" ht="15" hidden="1" customHeight="1" x14ac:dyDescent="0.25">
      <c r="B82" s="75"/>
      <c r="C82" s="1176" t="s">
        <v>30</v>
      </c>
      <c r="D82" s="1176"/>
      <c r="E82" s="1177"/>
      <c r="F82" s="1178" t="str">
        <f>IF(Q81=1,IF(S87="JA",LEFT(P3,LEN(SUBSTITUTE(SUBSTITUTE(P3,CHAR(10),""),CHAR(32),""))-U89),SUBSTITUTE(SUBSTITUTE(P3,CHAR(10),""),CHAR(32),"")),"")</f>
        <v>|hd|G140915|14#624|EK*#Polo-poule|Polo*#Bar|info@polobar.nl||AD¦P|#1|##|1000|5000|3000|2000||50|10|#0|10|#6|#6|#6|#4|##|##|X##|X##|X##|BA##|</v>
      </c>
      <c r="G82" s="1179"/>
      <c r="H82" s="1179"/>
      <c r="I82" s="1179"/>
      <c r="J82" s="1179"/>
      <c r="K82" s="1179"/>
      <c r="L82" s="1179"/>
      <c r="M82" s="1179"/>
      <c r="N82" s="1174">
        <f>IF(Q81=1,LEN(F82),"")</f>
        <v>140</v>
      </c>
      <c r="O82" s="1175"/>
      <c r="P82" s="1199"/>
      <c r="Q82" s="87">
        <f>IF(AND(CODE(RIGHT(M71,1))&gt;98,CODE(RIGHT(M71,1))&lt;115),IF(ISBLANK(P3),0,1),Q83)</f>
        <v>1</v>
      </c>
      <c r="R82" s="129" t="s">
        <v>145</v>
      </c>
      <c r="S82" s="210"/>
      <c r="T82" s="129"/>
      <c r="U82" s="130"/>
    </row>
    <row r="83" spans="2:21" hidden="1" x14ac:dyDescent="0.25">
      <c r="B83" s="75"/>
      <c r="C83" s="1176" t="s">
        <v>144</v>
      </c>
      <c r="D83" s="1176"/>
      <c r="E83" s="1177"/>
      <c r="F83" s="1185" t="str">
        <f>IF(Q81=1,LEFT(F82,N83),"")</f>
        <v>|hd|G140915|14#624|EK*#Polo-poule|Polo*#Bar|info@polobar.nl|</v>
      </c>
      <c r="G83" s="1185"/>
      <c r="H83" s="1185"/>
      <c r="I83" s="1185"/>
      <c r="J83" s="1185"/>
      <c r="K83" s="1185"/>
      <c r="L83" s="1185"/>
      <c r="M83" s="1185"/>
      <c r="N83" s="1174">
        <f>IF(Q81=1,RIGHT(LEFT(F82,7),2)+RIGHT(LEFT(F82,9),2)+RIGHT(LEFT(F82,11),2)+22,"")</f>
        <v>60</v>
      </c>
      <c r="O83" s="1175"/>
      <c r="P83" s="1199"/>
      <c r="Q83" s="87">
        <f>IF(OR(ISBLANK(P3),P3=""),0,IF(CODE(LEFT(SUBSTITUTE(SUBSTITUTE(P3,CHAR(10),""),CHAR(32),""),1))=124,1,0))</f>
        <v>1</v>
      </c>
      <c r="R83" s="129" t="s">
        <v>146</v>
      </c>
      <c r="S83" s="210"/>
      <c r="T83" s="129"/>
      <c r="U83" s="130"/>
    </row>
    <row r="84" spans="2:21" hidden="1" x14ac:dyDescent="0.25">
      <c r="B84" s="75"/>
      <c r="C84" s="1176" t="s">
        <v>104</v>
      </c>
      <c r="D84" s="1176"/>
      <c r="E84" s="1177"/>
      <c r="F84" s="1185" t="str">
        <f>IF(Q81=1,IF(N81&lt;1,"Geen Inleg Systeem",RIGHT(LEFT(F82,N83+N84),N84)),"")</f>
        <v>|AD¦P|#1|##|1000|5000|3000|2000|</v>
      </c>
      <c r="G84" s="1185"/>
      <c r="H84" s="1185"/>
      <c r="I84" s="1185"/>
      <c r="J84" s="1185"/>
      <c r="K84" s="1185"/>
      <c r="L84" s="1185"/>
      <c r="M84" s="1185"/>
      <c r="N84" s="1174">
        <f>IF(Q81=1,IF(N81&lt;1,0,N82-N83-N85),"")</f>
        <v>32</v>
      </c>
      <c r="O84" s="1175"/>
      <c r="P84" s="1199"/>
      <c r="Q84" s="87">
        <f>IF(OR(ISBLANK(P3),P3=""),0,IF(OR(CODE(RIGHT(SUBSTITUTE(SUBSTITUTE(P3,CHAR(10),""),CHAR(32),""),1))=124,CODE(RIGHT(SUBSTITUTE(SUBSTITUTE(P3,CHAR(10),""),CHAR(32),""),1))=125),1,0))</f>
        <v>1</v>
      </c>
      <c r="R84" s="129" t="s">
        <v>147</v>
      </c>
      <c r="S84" s="210"/>
      <c r="T84" s="129"/>
      <c r="U84" s="130"/>
    </row>
    <row r="85" spans="2:21" hidden="1" x14ac:dyDescent="0.25">
      <c r="B85" s="75"/>
      <c r="C85" s="1176" t="s">
        <v>103</v>
      </c>
      <c r="D85" s="1176"/>
      <c r="E85" s="1177"/>
      <c r="F85" s="1178" t="str">
        <f>IF(Q81=1,RIGHT(F82,N85),"")</f>
        <v>|50|10|#0|10|#6|#6|#6|#4|##|##|X##|X##|X##|BA##|</v>
      </c>
      <c r="G85" s="1179"/>
      <c r="H85" s="1179"/>
      <c r="I85" s="1180"/>
      <c r="J85" s="1180"/>
      <c r="K85" s="1180"/>
      <c r="L85" s="1180"/>
      <c r="M85" s="1181"/>
      <c r="N85" s="1174">
        <f>IF(Q81=1,48,"")</f>
        <v>48</v>
      </c>
      <c r="O85" s="1175"/>
      <c r="P85" s="1199"/>
      <c r="Q85" s="87" t="str">
        <f>IF(Q86="#","#",IF(Q82*Q83*Q84=1,RIGHT(LEFT(P3,3),2),"-"))</f>
        <v>hd</v>
      </c>
      <c r="R85" s="129" t="s">
        <v>148</v>
      </c>
      <c r="S85" s="210"/>
      <c r="T85" s="129"/>
      <c r="U85" s="130"/>
    </row>
    <row r="86" spans="2:21" hidden="1" x14ac:dyDescent="0.25">
      <c r="B86" s="75"/>
      <c r="C86" s="72"/>
      <c r="D86" s="72"/>
      <c r="E86" s="72"/>
      <c r="F86" s="126"/>
      <c r="G86" s="127"/>
      <c r="H86" s="127"/>
      <c r="I86" s="126"/>
      <c r="J86" s="126"/>
      <c r="K86" s="126"/>
      <c r="L86" s="126"/>
      <c r="M86" s="126"/>
      <c r="N86" s="114"/>
      <c r="O86" s="656"/>
      <c r="P86" s="1199"/>
      <c r="Q86" s="109" t="str">
        <f>R71</f>
        <v>hd</v>
      </c>
      <c r="R86" s="131" t="s">
        <v>149</v>
      </c>
      <c r="S86" s="211"/>
      <c r="T86" s="131"/>
      <c r="U86" s="132"/>
    </row>
    <row r="87" spans="2:21" ht="15" hidden="1" customHeight="1" x14ac:dyDescent="0.25">
      <c r="B87" s="79"/>
      <c r="C87" s="29" t="s">
        <v>151</v>
      </c>
      <c r="D87" s="83"/>
      <c r="E87" s="83"/>
      <c r="F87" s="83"/>
      <c r="G87" s="1190" t="str">
        <f>RIGHT(LEFT(F83,N87),2)</f>
        <v>hd</v>
      </c>
      <c r="H87" s="1191"/>
      <c r="I87" s="83" t="s">
        <v>152</v>
      </c>
      <c r="J87" s="83"/>
      <c r="K87" s="83"/>
      <c r="L87" s="83"/>
      <c r="M87" s="83"/>
      <c r="N87" s="1201">
        <v>3</v>
      </c>
      <c r="O87" s="1202"/>
      <c r="P87" s="1199"/>
      <c r="Q87" s="1194" t="s">
        <v>100</v>
      </c>
      <c r="R87" s="1195"/>
      <c r="S87" s="1209" t="str">
        <f>IF(Q81=1,IF(CODE(RIGHT(SUBSTITUTE(SUBSTITUTE(P3,CHAR(10),""),CHAR(32),""),1))=125,"JA","NEE"),"")</f>
        <v>JA</v>
      </c>
      <c r="T87" s="1210"/>
      <c r="U87" s="1211"/>
    </row>
    <row r="88" spans="2:21" hidden="1" x14ac:dyDescent="0.25">
      <c r="B88" s="75"/>
      <c r="C88" s="3"/>
      <c r="D88" s="3"/>
      <c r="E88" s="3"/>
      <c r="F88" s="3"/>
      <c r="G88" s="1182" t="str">
        <f>RIGHT(LEFT(F83,N88),1)</f>
        <v>G</v>
      </c>
      <c r="H88" s="42" t="str">
        <f>IF(F82="","",IF(OR(G88="E",G88="F",G88="G",G88="H"),"JA","NEE"))</f>
        <v>JA</v>
      </c>
      <c r="I88" s="3" t="s">
        <v>514</v>
      </c>
      <c r="J88" s="3"/>
      <c r="K88" s="3"/>
      <c r="L88" s="3"/>
      <c r="M88" s="3"/>
      <c r="N88" s="1192">
        <v>5</v>
      </c>
      <c r="O88" s="1175"/>
      <c r="P88" s="1199"/>
      <c r="Q88" s="1172" t="s">
        <v>82</v>
      </c>
      <c r="R88" s="1173"/>
      <c r="S88" s="1212" t="str">
        <f>IF(Q81=1,IF(S87="JA",RIGHT(SUBSTITUTE(SUBSTITUTE(P3,CHAR(10),""),CHAR(32),""),U89),"Geen Bonusvragen"),"")</f>
        <v>|DABCKLO|#5|#5|##|#2}</v>
      </c>
      <c r="T88" s="1213"/>
      <c r="U88" s="1214"/>
    </row>
    <row r="89" spans="2:21" hidden="1" x14ac:dyDescent="0.25">
      <c r="B89" s="75"/>
      <c r="C89" s="1170" t="str">
        <f>IF($Q$81=1,IF(RIGHT(LEFT($F$83,4),1)="¦","JA","NEE"),"")</f>
        <v>NEE</v>
      </c>
      <c r="D89" s="1171"/>
      <c r="E89" s="612" t="s">
        <v>825</v>
      </c>
      <c r="F89" s="3"/>
      <c r="G89" s="1183"/>
      <c r="H89" s="31" t="str">
        <f>IF(F82="","",IF(OR(G88="C",G88="D",G88="G",G88="H"),"JA","NEE"))</f>
        <v>JA</v>
      </c>
      <c r="I89" s="3" t="s">
        <v>31</v>
      </c>
      <c r="J89" s="3"/>
      <c r="K89" s="3"/>
      <c r="L89" s="3"/>
      <c r="M89" s="3"/>
      <c r="N89" s="114"/>
      <c r="O89" s="656"/>
      <c r="P89" s="1199"/>
      <c r="Q89" s="659"/>
      <c r="R89" s="460"/>
      <c r="S89" s="212"/>
      <c r="T89" s="212"/>
      <c r="U89" s="120">
        <v>21</v>
      </c>
    </row>
    <row r="90" spans="2:21" hidden="1" x14ac:dyDescent="0.25">
      <c r="B90" s="75"/>
      <c r="C90" s="28"/>
      <c r="D90" s="3"/>
      <c r="E90" s="612" t="s">
        <v>827</v>
      </c>
      <c r="F90" s="3"/>
      <c r="G90" s="1184"/>
      <c r="H90" s="42">
        <f>IF(F82="","",IF(OR(G88="A",G88="C",G88="E",G88="G"),1,2))</f>
        <v>1</v>
      </c>
      <c r="I90" s="3" t="s">
        <v>499</v>
      </c>
      <c r="J90" s="3"/>
      <c r="K90" s="3"/>
      <c r="L90" s="3"/>
      <c r="M90" s="3"/>
      <c r="N90" s="114"/>
      <c r="O90" s="656"/>
      <c r="P90" s="1199"/>
      <c r="Q90" s="659"/>
      <c r="R90" s="460"/>
      <c r="S90" s="212"/>
      <c r="T90" s="212"/>
      <c r="U90" s="213"/>
    </row>
    <row r="91" spans="2:21" hidden="1" x14ac:dyDescent="0.25">
      <c r="B91" s="75"/>
      <c r="C91" s="3"/>
      <c r="D91" s="3"/>
      <c r="E91" s="612" t="s">
        <v>826</v>
      </c>
      <c r="F91" s="3"/>
      <c r="G91" s="31" t="str">
        <f>RIGHT(G87,1)</f>
        <v>d</v>
      </c>
      <c r="H91" s="42" t="str">
        <f>IF(F82="","",IF(OR(G91="d",G91="h"),"JA","NEE"))</f>
        <v>JA</v>
      </c>
      <c r="I91" s="3" t="s">
        <v>74</v>
      </c>
      <c r="J91" s="3"/>
      <c r="K91" s="3"/>
      <c r="L91" s="3"/>
      <c r="M91" s="3"/>
      <c r="N91" s="1192">
        <v>10</v>
      </c>
      <c r="O91" s="1175"/>
      <c r="P91" s="1199"/>
      <c r="Q91" s="31" t="str">
        <f>IF(AND(Q81=1,S87="JA"),RIGHT(LEFT($S$88,11),2),"")</f>
        <v>#5</v>
      </c>
      <c r="R91" s="31">
        <f>IF(Q91="","",IF(CODE(Q91)=35,RIGHT(Q91,1),Q91)*1)</f>
        <v>5</v>
      </c>
      <c r="S91" s="85" t="s">
        <v>83</v>
      </c>
      <c r="T91" s="212"/>
      <c r="U91" s="213"/>
    </row>
    <row r="92" spans="2:21" hidden="1" x14ac:dyDescent="0.25">
      <c r="B92" s="75"/>
      <c r="C92" s="3"/>
      <c r="D92" s="3"/>
      <c r="E92" s="3"/>
      <c r="F92" s="74"/>
      <c r="G92" s="31" t="str">
        <f>IF(F82="",0,RIGHT(LEFT(F83,N92),6))</f>
        <v>14#624</v>
      </c>
      <c r="H92" s="31">
        <f>SUBSTITUTE(LEFT(G92,2),"#","")*1</f>
        <v>14</v>
      </c>
      <c r="I92" s="31" t="str">
        <f ca="1">IF(F82="",0,VLOOKUP(SUBSTITUTE(LEFT(RIGHT(G92,4),2),"#","")*1,Q105:R116,2))</f>
        <v>juni</v>
      </c>
      <c r="J92" s="31">
        <f>SUBSTITUTE(RIGHT(G92,2),"#","")*1</f>
        <v>24</v>
      </c>
      <c r="K92" s="3" t="s">
        <v>75</v>
      </c>
      <c r="L92" s="3"/>
      <c r="M92" s="3"/>
      <c r="N92" s="1192">
        <v>18</v>
      </c>
      <c r="O92" s="1175"/>
      <c r="P92" s="1199"/>
      <c r="Q92" s="31" t="str">
        <f>IF(AND(Q81=1,S87="JA"),RIGHT(LEFT($S$88,2),1),"")</f>
        <v>D</v>
      </c>
      <c r="R92" s="31">
        <f>IF(Q92="","",CODE(Q92)-IF(CODE(Q92)-64&gt;26,64+6,64))</f>
        <v>4</v>
      </c>
      <c r="S92" s="85" t="s">
        <v>450</v>
      </c>
      <c r="T92" s="212"/>
      <c r="U92" s="213"/>
    </row>
    <row r="93" spans="2:21" hidden="1" x14ac:dyDescent="0.25">
      <c r="B93" s="75"/>
      <c r="C93" s="3"/>
      <c r="D93" s="3"/>
      <c r="E93" s="3"/>
      <c r="F93" s="74"/>
      <c r="G93" s="62" t="str">
        <f>IF(F82="",0,RIGHT(LEFT(F83,7),2))</f>
        <v>14</v>
      </c>
      <c r="H93" s="124" t="str">
        <f>RIGHT(LEFT($F$83,G93+N93),G93)</f>
        <v>EK*#Polo-poule</v>
      </c>
      <c r="I93" s="83" t="s">
        <v>154</v>
      </c>
      <c r="J93" s="83"/>
      <c r="K93" s="3"/>
      <c r="L93" s="3"/>
      <c r="M93" s="3"/>
      <c r="N93" s="1192">
        <v>19</v>
      </c>
      <c r="O93" s="1175"/>
      <c r="P93" s="1199"/>
      <c r="Q93" s="31" t="str">
        <f>IF(AND(Q81=1,S87="JA"),RIGHT(LEFT($S$88,14),2),"")</f>
        <v>#5</v>
      </c>
      <c r="R93" s="31">
        <f>IF(Q93="","",IF(CODE(Q93)=35,RIGHT(Q93,1),Q93)*1)</f>
        <v>5</v>
      </c>
      <c r="S93" s="85" t="s">
        <v>84</v>
      </c>
      <c r="T93" s="212"/>
      <c r="U93" s="213"/>
    </row>
    <row r="94" spans="2:21" hidden="1" x14ac:dyDescent="0.25">
      <c r="B94" s="75"/>
      <c r="C94" s="3"/>
      <c r="D94" s="3"/>
      <c r="E94" s="3"/>
      <c r="F94" s="3"/>
      <c r="G94" s="62" t="str">
        <f>IF(F82="",0,RIGHT(LEFT(F83,9),2))</f>
        <v>09</v>
      </c>
      <c r="H94" s="124" t="str">
        <f>RIGHT(LEFT($F$83,G94+N94),G94)</f>
        <v>Polo*#Bar</v>
      </c>
      <c r="I94" s="3" t="s">
        <v>155</v>
      </c>
      <c r="J94" s="3"/>
      <c r="K94" s="3"/>
      <c r="L94" s="3"/>
      <c r="M94" s="3"/>
      <c r="N94" s="1192">
        <f>G93+N93+1</f>
        <v>34</v>
      </c>
      <c r="O94" s="1175"/>
      <c r="P94" s="1199"/>
      <c r="Q94" s="31" t="str">
        <f>IF(AND(Q81=1,S87="JA"),RIGHT(LEFT($S$88,3),1),"")</f>
        <v>A</v>
      </c>
      <c r="R94" s="31">
        <f>IF(Q94="","",CODE(Q94)-64)</f>
        <v>1</v>
      </c>
      <c r="S94" s="212" t="s">
        <v>451</v>
      </c>
      <c r="T94" s="212"/>
      <c r="U94" s="213"/>
    </row>
    <row r="95" spans="2:21" hidden="1" x14ac:dyDescent="0.25">
      <c r="B95" s="80"/>
      <c r="C95" s="82"/>
      <c r="D95" s="82"/>
      <c r="E95" s="82"/>
      <c r="F95" s="82"/>
      <c r="G95" s="62" t="str">
        <f>IF(F82="",0,RIGHT(LEFT(F83,11),2))</f>
        <v>15</v>
      </c>
      <c r="H95" s="124" t="str">
        <f>RIGHT(LEFT($F$83,G95+N95),G95)</f>
        <v>info@polobar.nl</v>
      </c>
      <c r="I95" s="82" t="s">
        <v>156</v>
      </c>
      <c r="J95" s="82"/>
      <c r="K95" s="82"/>
      <c r="L95" s="82"/>
      <c r="M95" s="82"/>
      <c r="N95" s="1207">
        <f>G94+N94+1</f>
        <v>44</v>
      </c>
      <c r="O95" s="1208"/>
      <c r="P95" s="1199"/>
      <c r="Q95" s="31" t="str">
        <f>IF(AND(Q81=1,S87="JA"),RIGHT(LEFT($S$88,17),2),"")</f>
        <v>##</v>
      </c>
      <c r="R95" s="31" t="str">
        <f>IF(OR(Q95="",Q95="##"),"",IF(CODE(Q95)=35,RIGHT(Q95,1),Q95)*1)</f>
        <v/>
      </c>
      <c r="S95" s="85" t="s">
        <v>85</v>
      </c>
      <c r="T95" s="212"/>
      <c r="U95" s="213"/>
    </row>
    <row r="96" spans="2:21" hidden="1" x14ac:dyDescent="0.25">
      <c r="B96" s="102"/>
      <c r="C96" s="28" t="s">
        <v>153</v>
      </c>
      <c r="D96" s="3"/>
      <c r="E96" s="3"/>
      <c r="F96" s="3"/>
      <c r="G96" s="62" t="str">
        <f>IF($H$91="JA",RIGHT(LEFT($F$84,2),1),"")</f>
        <v>A</v>
      </c>
      <c r="H96" s="124" t="str">
        <f>IF(G96="","",IF(OR(G96="A",G96="D",G96="E"),"n.v.t.",RIGHT(LEFT(F84,9),6)))</f>
        <v>n.v.t.</v>
      </c>
      <c r="I96" s="103" t="s">
        <v>428</v>
      </c>
      <c r="J96" s="118"/>
      <c r="K96" s="118"/>
      <c r="L96" s="118"/>
      <c r="M96" s="3"/>
      <c r="N96" s="1192"/>
      <c r="O96" s="1175"/>
      <c r="P96" s="1199"/>
      <c r="Q96" s="31" t="str">
        <f>IF(AND(Q81=1,S87="JA"),RIGHT(LEFT($S$88,20),2),"")</f>
        <v>#2</v>
      </c>
      <c r="R96" s="31">
        <f>IF(Q96="","",IF(CODE(Q96)=35,RIGHT(Q96,1),Q96)*1)</f>
        <v>2</v>
      </c>
      <c r="S96" s="85" t="s">
        <v>86</v>
      </c>
      <c r="T96" s="212"/>
      <c r="U96" s="213"/>
    </row>
    <row r="97" spans="2:21" hidden="1" x14ac:dyDescent="0.25">
      <c r="B97" s="102"/>
      <c r="C97" s="28"/>
      <c r="D97" s="3"/>
      <c r="E97" s="3"/>
      <c r="F97" s="3"/>
      <c r="G97" s="62" t="str">
        <f>IF($H$91="JA",RIGHT(LEFT($F$84,3),1),"")</f>
        <v>D</v>
      </c>
      <c r="H97" s="124" t="str">
        <f>IF(G97="","",IF(G97="D","n.v.t.",IF(OR(G96="A",G96="D",G96="E"),RIGHT(LEFT(F84,6),3),RIGHT(LEFT(F84,12),3))))</f>
        <v>n.v.t.</v>
      </c>
      <c r="I97" s="103" t="s">
        <v>1257</v>
      </c>
      <c r="J97" s="118"/>
      <c r="K97" s="118"/>
      <c r="L97" s="118"/>
      <c r="M97" s="118"/>
      <c r="N97" s="1192"/>
      <c r="O97" s="1175"/>
      <c r="P97" s="1199"/>
      <c r="Q97" s="31" t="str">
        <f>IF(AND(Q81=1,S87="JA"),RIGHT(LEFT($S$88,4),1),"")</f>
        <v>B</v>
      </c>
      <c r="R97" s="31">
        <f>IF(Q97="","",CODE(Q97)-64)</f>
        <v>2</v>
      </c>
      <c r="S97" s="212" t="s">
        <v>452</v>
      </c>
      <c r="T97" s="212"/>
      <c r="U97" s="213"/>
    </row>
    <row r="98" spans="2:21" hidden="1" x14ac:dyDescent="0.25">
      <c r="B98" s="102"/>
      <c r="C98" s="1170" t="str">
        <f>IF($H$91="JA",IF(RIGHT(LEFT($F$84,N103-1),1)="¦","JA","NEE"),"")</f>
        <v>JA</v>
      </c>
      <c r="D98" s="1171"/>
      <c r="E98" s="612" t="s">
        <v>815</v>
      </c>
      <c r="F98" s="3"/>
      <c r="G98" s="62" t="str">
        <f>IF(OR(G96="B",G96="C"),LEFT(H96,2)*1,"")</f>
        <v/>
      </c>
      <c r="H98" s="124" t="str">
        <f>IF(G98="","",LEFT(RIGHT($F$84,N98),G98))</f>
        <v/>
      </c>
      <c r="I98" s="384" t="s">
        <v>429</v>
      </c>
      <c r="J98" s="118"/>
      <c r="K98" s="118"/>
      <c r="L98" s="118"/>
      <c r="M98" s="118"/>
      <c r="N98" s="1192">
        <f>IF(G98="",0,N99+G98+1)</f>
        <v>0</v>
      </c>
      <c r="O98" s="1175"/>
      <c r="P98" s="1199"/>
      <c r="Q98" s="31" t="str">
        <f>IF(AND(Q81=1,S87="JA"),RIGHT(LEFT($S$88,5),1),"")</f>
        <v>C</v>
      </c>
      <c r="R98" s="31">
        <f>IF(Q98="","",CODE(Q98)-64)</f>
        <v>3</v>
      </c>
      <c r="S98" s="212" t="s">
        <v>453</v>
      </c>
      <c r="T98" s="212"/>
      <c r="U98" s="213"/>
    </row>
    <row r="99" spans="2:21" hidden="1" x14ac:dyDescent="0.25">
      <c r="B99" s="102"/>
      <c r="C99" s="28"/>
      <c r="D99" s="3"/>
      <c r="E99" s="612" t="s">
        <v>816</v>
      </c>
      <c r="F99" s="3"/>
      <c r="G99" s="62" t="str">
        <f>IF(OR(G96="B",G96="C"),RIGHT(LEFT(H96,4),2)*1,"")</f>
        <v/>
      </c>
      <c r="H99" s="124" t="str">
        <f>IF(G99="","",LEFT(RIGHT($F$84,N99),G99))</f>
        <v/>
      </c>
      <c r="I99" s="384" t="s">
        <v>430</v>
      </c>
      <c r="J99" s="118"/>
      <c r="K99" s="118"/>
      <c r="L99" s="118"/>
      <c r="M99" s="118"/>
      <c r="N99" s="1192">
        <f>IF(G99="",0,N100+G99+1)</f>
        <v>0</v>
      </c>
      <c r="O99" s="1175"/>
      <c r="P99" s="1199"/>
      <c r="Q99" s="31" t="str">
        <f>IF(AND(Q81=1,S87="JA"),RIGHT(LEFT($S$88,6),1),"")</f>
        <v>K</v>
      </c>
      <c r="R99" s="31">
        <f>IF(Q99="","",CODE(Q99)-64)</f>
        <v>11</v>
      </c>
      <c r="S99" s="212" t="s">
        <v>454</v>
      </c>
      <c r="T99" s="212"/>
      <c r="U99" s="213"/>
    </row>
    <row r="100" spans="2:21" hidden="1" x14ac:dyDescent="0.25">
      <c r="B100" s="102"/>
      <c r="C100" s="28"/>
      <c r="D100" s="3"/>
      <c r="E100" s="3"/>
      <c r="F100" s="3"/>
      <c r="G100" s="62" t="str">
        <f>IF(OR(G96="B",G96="C"),RIGHT(H96,2)*1,"")</f>
        <v/>
      </c>
      <c r="H100" s="124" t="str">
        <f>IF(G100="","",LEFT(RIGHT($F$84,N100),G100))</f>
        <v/>
      </c>
      <c r="I100" s="384" t="s">
        <v>431</v>
      </c>
      <c r="J100" s="118"/>
      <c r="K100" s="118"/>
      <c r="L100" s="118"/>
      <c r="M100" s="118"/>
      <c r="N100" s="1192">
        <f>IF(G100="",0,N101+G100+1)</f>
        <v>0</v>
      </c>
      <c r="O100" s="1175"/>
      <c r="P100" s="1199"/>
      <c r="Q100" s="31" t="str">
        <f>IF(AND(Q81=1,S87="JA"),RIGHT(LEFT($S$88,7),1),"")</f>
        <v>L</v>
      </c>
      <c r="R100" s="31">
        <f>IF(Q100="","",CODE(Q100)-64)</f>
        <v>12</v>
      </c>
      <c r="S100" s="212" t="s">
        <v>455</v>
      </c>
      <c r="T100" s="212"/>
      <c r="U100" s="213"/>
    </row>
    <row r="101" spans="2:21" hidden="1" x14ac:dyDescent="0.25">
      <c r="B101" s="102"/>
      <c r="C101" s="28"/>
      <c r="D101" s="3"/>
      <c r="E101" s="3"/>
      <c r="F101" s="3"/>
      <c r="G101" s="62" t="str">
        <f>IF(OR(G97="A",G97="B",G97="C"),LEFT(H97,2)*1,"")</f>
        <v/>
      </c>
      <c r="H101" s="124" t="str">
        <f>IF(G101="","",LEFT(RIGHT($F$84,N101),G101))</f>
        <v/>
      </c>
      <c r="I101" s="384" t="s">
        <v>432</v>
      </c>
      <c r="J101" s="118"/>
      <c r="K101" s="118"/>
      <c r="L101" s="118"/>
      <c r="M101" s="118"/>
      <c r="N101" s="1192">
        <f>IF(G101="",0,N102+G101+1)</f>
        <v>0</v>
      </c>
      <c r="O101" s="1175"/>
      <c r="P101" s="1199"/>
      <c r="Q101" s="31" t="str">
        <f>IF(AND(Q81=1,S87="JA"),RIGHT(LEFT($S$88,8),1),"")</f>
        <v>O</v>
      </c>
      <c r="R101" s="31">
        <f>IF(Q101="","",CODE(Q101)-64)</f>
        <v>15</v>
      </c>
      <c r="S101" s="212" t="s">
        <v>456</v>
      </c>
      <c r="T101" s="212"/>
      <c r="U101" s="213"/>
    </row>
    <row r="102" spans="2:21" hidden="1" x14ac:dyDescent="0.25">
      <c r="B102" s="102"/>
      <c r="C102" s="28"/>
      <c r="D102" s="3"/>
      <c r="E102" s="3"/>
      <c r="F102" s="3"/>
      <c r="G102" s="62" t="str">
        <f>IF(OR(G97="A",G97="B",G97="C"),RIGHT(H97,1)*1,"")</f>
        <v/>
      </c>
      <c r="H102" s="62" t="str">
        <f>IF(G102="","",0.01*LEFT(RIGHT($F$84,N102),G102))</f>
        <v/>
      </c>
      <c r="I102" s="384" t="s">
        <v>1258</v>
      </c>
      <c r="J102" s="118"/>
      <c r="K102" s="118"/>
      <c r="L102" s="118"/>
      <c r="M102" s="118"/>
      <c r="N102" s="1207">
        <f>IF(G102="",0,G102+1)</f>
        <v>0</v>
      </c>
      <c r="O102" s="1208"/>
      <c r="P102" s="1199"/>
      <c r="Q102" s="413"/>
      <c r="R102" s="212"/>
      <c r="S102" s="212"/>
      <c r="T102" s="212"/>
      <c r="U102" s="213"/>
    </row>
    <row r="103" spans="2:21" hidden="1" x14ac:dyDescent="0.25">
      <c r="B103" s="102"/>
      <c r="C103" s="28"/>
      <c r="D103" s="3"/>
      <c r="E103" s="3"/>
      <c r="F103" s="3"/>
      <c r="G103" s="62" t="str">
        <f>IF($H$91="JA",RIGHT(LEFT($F$84,N103),1),"")</f>
        <v>P</v>
      </c>
      <c r="H103" s="62" t="str">
        <f>IF(G103="","",IF(G103="E","€",CHAR(37)))</f>
        <v>%</v>
      </c>
      <c r="I103" s="3" t="s">
        <v>32</v>
      </c>
      <c r="J103" s="118"/>
      <c r="K103" s="118"/>
      <c r="L103" s="118"/>
      <c r="M103" s="118"/>
      <c r="N103" s="1192">
        <f>IF($H$91="JA",5+IF(OR(G96="A",G96="D",G96="E"),0,6)+IF(G97="D",0,3),0)</f>
        <v>5</v>
      </c>
      <c r="O103" s="1175"/>
      <c r="P103" s="1199"/>
      <c r="Q103" s="413"/>
      <c r="R103" s="212"/>
      <c r="S103" s="212"/>
      <c r="T103" s="212"/>
      <c r="U103" s="213"/>
    </row>
    <row r="104" spans="2:21" hidden="1" x14ac:dyDescent="0.25">
      <c r="B104" s="102"/>
      <c r="C104" s="28"/>
      <c r="D104" s="3"/>
      <c r="E104" s="3"/>
      <c r="F104" s="3"/>
      <c r="G104" s="62" t="str">
        <f>IF($H$91="JA",RIGHT(LEFT($F$84,N104),2),"")</f>
        <v>#1</v>
      </c>
      <c r="H104" s="62">
        <f>IF(OR(G104="",G104="##"),"",IF(G104="XX","X",0+SUBSTITUTE(G104,"#","0")*1))</f>
        <v>1</v>
      </c>
      <c r="I104" s="3" t="s">
        <v>433</v>
      </c>
      <c r="J104" s="3"/>
      <c r="K104" s="3"/>
      <c r="L104" s="3"/>
      <c r="M104" s="118"/>
      <c r="N104" s="1192">
        <f>IF($H$91="JA",N103+3,0)</f>
        <v>8</v>
      </c>
      <c r="O104" s="1175"/>
      <c r="P104" s="1199"/>
      <c r="Q104" s="414"/>
      <c r="R104" s="214"/>
      <c r="S104" s="214"/>
      <c r="T104" s="214"/>
      <c r="U104" s="215"/>
    </row>
    <row r="105" spans="2:21" hidden="1" x14ac:dyDescent="0.25">
      <c r="B105" s="102"/>
      <c r="C105" s="28"/>
      <c r="D105" s="72">
        <f>N84-LARGE(N98:O102,1)</f>
        <v>32</v>
      </c>
      <c r="E105" s="3"/>
      <c r="F105" s="3"/>
      <c r="G105" s="62" t="str">
        <f>IF($H$91="JA",RIGHT(LEFT($F$84,N105),2),"")</f>
        <v>##</v>
      </c>
      <c r="H105" s="62" t="str">
        <f>IF(OR(G105="",G105="##"),"",IF(G105="XX","X",0+SUBSTITUTE(G105,"#","0")*1))</f>
        <v/>
      </c>
      <c r="I105" s="3" t="s">
        <v>94</v>
      </c>
      <c r="J105" s="3"/>
      <c r="K105" s="3"/>
      <c r="L105" s="3"/>
      <c r="M105" s="118"/>
      <c r="N105" s="1192">
        <f>IF($H$91="JA",N104+3,0)</f>
        <v>11</v>
      </c>
      <c r="O105" s="1175"/>
      <c r="P105" s="1199"/>
      <c r="Q105" s="409">
        <v>1</v>
      </c>
      <c r="R105" s="410" t="str">
        <f ca="1">Taal03!B35</f>
        <v>januari</v>
      </c>
      <c r="S105" s="410"/>
      <c r="T105" s="63"/>
      <c r="U105" s="64"/>
    </row>
    <row r="106" spans="2:21" hidden="1" x14ac:dyDescent="0.25">
      <c r="B106" s="102"/>
      <c r="C106" s="3"/>
      <c r="D106" s="103">
        <f>N105+1</f>
        <v>12</v>
      </c>
      <c r="E106" s="103">
        <f t="shared" ref="E106:E116" si="4">IF(OR($H$91="NEE",D106=$D$105),$D$105,FIND("|",$F$84,D106+1))</f>
        <v>17</v>
      </c>
      <c r="F106" s="3"/>
      <c r="G106" s="31" t="str">
        <f t="shared" ref="G106:G116" si="5">IF(OR($H$91="NEE",D106=E106),"",MID($F$84,D106+1,E106-D106-1))</f>
        <v>1000</v>
      </c>
      <c r="H106" s="33">
        <f t="shared" ref="H106:H116" si="6">IF(G106="",0,G106/100)</f>
        <v>10</v>
      </c>
      <c r="I106" s="104" t="s">
        <v>33</v>
      </c>
      <c r="J106" s="3"/>
      <c r="K106" s="123">
        <f>LARGE(K107:K116,1)</f>
        <v>0</v>
      </c>
      <c r="L106" s="385" t="str">
        <f>"= aantal decimalen"</f>
        <v>= aantal decimalen</v>
      </c>
      <c r="M106" s="31" t="str">
        <f t="shared" ref="M106:M116" si="7">"€"&amp;" "&amp;H106&amp;IF(CODE(LEFT(RIGHT(H106,2),1))=44,"0",IF(CODE(LEFT(RIGHT(H106,3),1))=44,"",",00"))</f>
        <v>€ 10,00</v>
      </c>
      <c r="N106" s="3"/>
      <c r="O106" s="74"/>
      <c r="P106" s="1199"/>
      <c r="Q106" s="411">
        <v>2</v>
      </c>
      <c r="R106" s="216" t="str">
        <f ca="1">Taal03!B36</f>
        <v>februari</v>
      </c>
      <c r="S106" s="65"/>
      <c r="T106" s="65"/>
      <c r="U106" s="66"/>
    </row>
    <row r="107" spans="2:21" hidden="1" x14ac:dyDescent="0.25">
      <c r="B107" s="102"/>
      <c r="C107" s="3"/>
      <c r="D107" s="103">
        <f t="shared" ref="D107:D116" si="8">IF(E106&gt;=$D$105,$D$105,E106)</f>
        <v>17</v>
      </c>
      <c r="E107" s="103">
        <f t="shared" si="4"/>
        <v>22</v>
      </c>
      <c r="F107" s="3"/>
      <c r="G107" s="31" t="str">
        <f t="shared" si="5"/>
        <v>5000</v>
      </c>
      <c r="H107" s="33">
        <f t="shared" si="6"/>
        <v>50</v>
      </c>
      <c r="I107" s="3" t="s">
        <v>34</v>
      </c>
      <c r="J107" s="3"/>
      <c r="K107" s="121">
        <f>IF(G107="",0,IF(RIGHT(G107,1)="0",IF(RIGHT(G107,2)="00",0,1),2))</f>
        <v>0</v>
      </c>
      <c r="L107" s="31" t="str">
        <f>H107&amp;IF($K$106=2,IF($K$106-K107=2,",00",IF($K$106-K107=1,"0","")),IF($K$106=1,IF($K$106-K107=1,",0",""),""))&amp;"% van de inleg"</f>
        <v>50% van de inleg</v>
      </c>
      <c r="M107" s="31" t="str">
        <f t="shared" si="7"/>
        <v>€ 50,00</v>
      </c>
      <c r="N107" s="3"/>
      <c r="O107" s="74"/>
      <c r="P107" s="1199"/>
      <c r="Q107" s="411">
        <v>3</v>
      </c>
      <c r="R107" s="216" t="str">
        <f ca="1">Taal03!B37</f>
        <v>maart</v>
      </c>
      <c r="S107" s="65"/>
      <c r="T107" s="65"/>
      <c r="U107" s="66"/>
    </row>
    <row r="108" spans="2:21" hidden="1" x14ac:dyDescent="0.25">
      <c r="B108" s="102"/>
      <c r="C108" s="3"/>
      <c r="D108" s="103">
        <f t="shared" si="8"/>
        <v>22</v>
      </c>
      <c r="E108" s="103">
        <f t="shared" si="4"/>
        <v>27</v>
      </c>
      <c r="F108" s="3"/>
      <c r="G108" s="31" t="str">
        <f t="shared" si="5"/>
        <v>3000</v>
      </c>
      <c r="H108" s="33">
        <f t="shared" si="6"/>
        <v>30</v>
      </c>
      <c r="I108" s="3" t="s">
        <v>35</v>
      </c>
      <c r="J108" s="3"/>
      <c r="K108" s="121">
        <f t="shared" ref="K108:K116" si="9">IF(G108="",0,IF(RIGHT(G108,1)="0",IF(RIGHT(G108,2)="00",0,1),2))</f>
        <v>0</v>
      </c>
      <c r="L108" s="31" t="str">
        <f t="shared" ref="L108:L116" si="10">H108&amp;IF($K$106=2,IF($K$106-K108=2,",00",IF($K$106-K108=1,"0","")),IF($K$106=1,IF($K$106-K108=1,",0",""),""))&amp;"% van de inleg"</f>
        <v>30% van de inleg</v>
      </c>
      <c r="M108" s="31" t="str">
        <f t="shared" si="7"/>
        <v>€ 30,00</v>
      </c>
      <c r="N108" s="3"/>
      <c r="O108" s="74"/>
      <c r="P108" s="1199"/>
      <c r="Q108" s="411">
        <v>4</v>
      </c>
      <c r="R108" s="216" t="str">
        <f ca="1">Taal03!B38</f>
        <v>april</v>
      </c>
      <c r="S108" s="65"/>
      <c r="T108" s="65"/>
      <c r="U108" s="66"/>
    </row>
    <row r="109" spans="2:21" hidden="1" x14ac:dyDescent="0.25">
      <c r="B109" s="102"/>
      <c r="C109" s="3"/>
      <c r="D109" s="103">
        <f t="shared" si="8"/>
        <v>27</v>
      </c>
      <c r="E109" s="103">
        <f t="shared" si="4"/>
        <v>32</v>
      </c>
      <c r="F109" s="3"/>
      <c r="G109" s="31" t="str">
        <f t="shared" si="5"/>
        <v>2000</v>
      </c>
      <c r="H109" s="33">
        <f t="shared" si="6"/>
        <v>20</v>
      </c>
      <c r="I109" s="3" t="s">
        <v>36</v>
      </c>
      <c r="J109" s="3"/>
      <c r="K109" s="121">
        <f t="shared" si="9"/>
        <v>0</v>
      </c>
      <c r="L109" s="31" t="str">
        <f t="shared" si="10"/>
        <v>20% van de inleg</v>
      </c>
      <c r="M109" s="31" t="str">
        <f t="shared" si="7"/>
        <v>€ 20,00</v>
      </c>
      <c r="N109" s="3"/>
      <c r="O109" s="74"/>
      <c r="P109" s="1199"/>
      <c r="Q109" s="411">
        <v>5</v>
      </c>
      <c r="R109" s="216" t="str">
        <f ca="1">Taal03!B39</f>
        <v>mei</v>
      </c>
      <c r="S109" s="65"/>
      <c r="T109" s="65"/>
      <c r="U109" s="66"/>
    </row>
    <row r="110" spans="2:21" hidden="1" x14ac:dyDescent="0.25">
      <c r="B110" s="102"/>
      <c r="C110" s="3"/>
      <c r="D110" s="103">
        <f t="shared" si="8"/>
        <v>32</v>
      </c>
      <c r="E110" s="103">
        <f t="shared" si="4"/>
        <v>32</v>
      </c>
      <c r="F110" s="3"/>
      <c r="G110" s="31" t="str">
        <f t="shared" si="5"/>
        <v/>
      </c>
      <c r="H110" s="33">
        <f t="shared" si="6"/>
        <v>0</v>
      </c>
      <c r="I110" s="3" t="s">
        <v>37</v>
      </c>
      <c r="J110" s="3"/>
      <c r="K110" s="121">
        <f t="shared" si="9"/>
        <v>0</v>
      </c>
      <c r="L110" s="31" t="str">
        <f t="shared" si="10"/>
        <v>0% van de inleg</v>
      </c>
      <c r="M110" s="31" t="str">
        <f t="shared" si="7"/>
        <v>€ 0,00</v>
      </c>
      <c r="N110" s="3"/>
      <c r="O110" s="74"/>
      <c r="P110" s="1199"/>
      <c r="Q110" s="411">
        <v>6</v>
      </c>
      <c r="R110" s="216" t="str">
        <f ca="1">Taal03!B40</f>
        <v>juni</v>
      </c>
      <c r="S110" s="65"/>
      <c r="T110" s="65"/>
      <c r="U110" s="66"/>
    </row>
    <row r="111" spans="2:21" hidden="1" x14ac:dyDescent="0.25">
      <c r="B111" s="102"/>
      <c r="C111" s="3"/>
      <c r="D111" s="103">
        <f t="shared" si="8"/>
        <v>32</v>
      </c>
      <c r="E111" s="103">
        <f t="shared" si="4"/>
        <v>32</v>
      </c>
      <c r="F111" s="3"/>
      <c r="G111" s="31" t="str">
        <f t="shared" si="5"/>
        <v/>
      </c>
      <c r="H111" s="33">
        <f t="shared" si="6"/>
        <v>0</v>
      </c>
      <c r="I111" s="3" t="s">
        <v>38</v>
      </c>
      <c r="J111" s="3"/>
      <c r="K111" s="121">
        <f t="shared" si="9"/>
        <v>0</v>
      </c>
      <c r="L111" s="31" t="str">
        <f t="shared" si="10"/>
        <v>0% van de inleg</v>
      </c>
      <c r="M111" s="31" t="str">
        <f t="shared" si="7"/>
        <v>€ 0,00</v>
      </c>
      <c r="N111" s="3"/>
      <c r="O111" s="74"/>
      <c r="P111" s="1199"/>
      <c r="Q111" s="411">
        <v>7</v>
      </c>
      <c r="R111" s="216" t="str">
        <f ca="1">Taal03!B41</f>
        <v>juli</v>
      </c>
      <c r="S111" s="65"/>
      <c r="T111" s="65"/>
      <c r="U111" s="66"/>
    </row>
    <row r="112" spans="2:21" hidden="1" x14ac:dyDescent="0.25">
      <c r="B112" s="102"/>
      <c r="C112" s="3"/>
      <c r="D112" s="103">
        <f t="shared" si="8"/>
        <v>32</v>
      </c>
      <c r="E112" s="103">
        <f t="shared" si="4"/>
        <v>32</v>
      </c>
      <c r="F112" s="3"/>
      <c r="G112" s="31" t="str">
        <f t="shared" si="5"/>
        <v/>
      </c>
      <c r="H112" s="33">
        <f t="shared" si="6"/>
        <v>0</v>
      </c>
      <c r="I112" s="3" t="s">
        <v>39</v>
      </c>
      <c r="J112" s="3"/>
      <c r="K112" s="121">
        <f t="shared" si="9"/>
        <v>0</v>
      </c>
      <c r="L112" s="31" t="str">
        <f t="shared" si="10"/>
        <v>0% van de inleg</v>
      </c>
      <c r="M112" s="31" t="str">
        <f t="shared" si="7"/>
        <v>€ 0,00</v>
      </c>
      <c r="N112" s="3"/>
      <c r="O112" s="74"/>
      <c r="P112" s="1199"/>
      <c r="Q112" s="411">
        <v>8</v>
      </c>
      <c r="R112" s="216" t="str">
        <f ca="1">Taal03!B42</f>
        <v>augustus</v>
      </c>
      <c r="S112" s="65"/>
      <c r="T112" s="65"/>
      <c r="U112" s="66"/>
    </row>
    <row r="113" spans="2:21" hidden="1" x14ac:dyDescent="0.25">
      <c r="B113" s="102"/>
      <c r="C113" s="3"/>
      <c r="D113" s="103">
        <f t="shared" si="8"/>
        <v>32</v>
      </c>
      <c r="E113" s="103">
        <f t="shared" si="4"/>
        <v>32</v>
      </c>
      <c r="F113" s="3"/>
      <c r="G113" s="31" t="str">
        <f t="shared" si="5"/>
        <v/>
      </c>
      <c r="H113" s="33">
        <f t="shared" si="6"/>
        <v>0</v>
      </c>
      <c r="I113" s="3" t="s">
        <v>40</v>
      </c>
      <c r="J113" s="3"/>
      <c r="K113" s="121">
        <f t="shared" si="9"/>
        <v>0</v>
      </c>
      <c r="L113" s="31" t="str">
        <f t="shared" si="10"/>
        <v>0% van de inleg</v>
      </c>
      <c r="M113" s="31" t="str">
        <f t="shared" si="7"/>
        <v>€ 0,00</v>
      </c>
      <c r="N113" s="3"/>
      <c r="O113" s="74"/>
      <c r="P113" s="1199"/>
      <c r="Q113" s="411">
        <v>9</v>
      </c>
      <c r="R113" s="216" t="str">
        <f ca="1">Taal03!B43</f>
        <v>september</v>
      </c>
      <c r="S113" s="65"/>
      <c r="T113" s="65"/>
      <c r="U113" s="66"/>
    </row>
    <row r="114" spans="2:21" hidden="1" x14ac:dyDescent="0.25">
      <c r="B114" s="102"/>
      <c r="C114" s="3"/>
      <c r="D114" s="103">
        <f t="shared" si="8"/>
        <v>32</v>
      </c>
      <c r="E114" s="103">
        <f t="shared" si="4"/>
        <v>32</v>
      </c>
      <c r="F114" s="3"/>
      <c r="G114" s="31" t="str">
        <f t="shared" si="5"/>
        <v/>
      </c>
      <c r="H114" s="33">
        <f t="shared" si="6"/>
        <v>0</v>
      </c>
      <c r="I114" s="3" t="s">
        <v>41</v>
      </c>
      <c r="J114" s="3"/>
      <c r="K114" s="121">
        <f t="shared" si="9"/>
        <v>0</v>
      </c>
      <c r="L114" s="31" t="str">
        <f t="shared" si="10"/>
        <v>0% van de inleg</v>
      </c>
      <c r="M114" s="31" t="str">
        <f t="shared" si="7"/>
        <v>€ 0,00</v>
      </c>
      <c r="N114" s="3"/>
      <c r="O114" s="74"/>
      <c r="P114" s="1199"/>
      <c r="Q114" s="411">
        <v>10</v>
      </c>
      <c r="R114" s="216" t="str">
        <f ca="1">Taal03!B44</f>
        <v>oktober</v>
      </c>
      <c r="S114" s="65"/>
      <c r="T114" s="65"/>
      <c r="U114" s="66"/>
    </row>
    <row r="115" spans="2:21" hidden="1" x14ac:dyDescent="0.25">
      <c r="B115" s="102"/>
      <c r="C115" s="3"/>
      <c r="D115" s="103">
        <f t="shared" si="8"/>
        <v>32</v>
      </c>
      <c r="E115" s="103">
        <f t="shared" si="4"/>
        <v>32</v>
      </c>
      <c r="F115" s="3"/>
      <c r="G115" s="31" t="str">
        <f t="shared" si="5"/>
        <v/>
      </c>
      <c r="H115" s="33">
        <f t="shared" si="6"/>
        <v>0</v>
      </c>
      <c r="I115" s="3" t="s">
        <v>42</v>
      </c>
      <c r="J115" s="3"/>
      <c r="K115" s="121">
        <f t="shared" si="9"/>
        <v>0</v>
      </c>
      <c r="L115" s="31" t="str">
        <f t="shared" si="10"/>
        <v>0% van de inleg</v>
      </c>
      <c r="M115" s="31" t="str">
        <f t="shared" si="7"/>
        <v>€ 0,00</v>
      </c>
      <c r="N115" s="3"/>
      <c r="O115" s="74"/>
      <c r="P115" s="1199"/>
      <c r="Q115" s="411">
        <v>11</v>
      </c>
      <c r="R115" s="216" t="str">
        <f ca="1">Taal03!B45</f>
        <v>november</v>
      </c>
      <c r="S115" s="65"/>
      <c r="T115" s="65"/>
      <c r="U115" s="66"/>
    </row>
    <row r="116" spans="2:21" hidden="1" x14ac:dyDescent="0.25">
      <c r="B116" s="105"/>
      <c r="C116" s="82"/>
      <c r="D116" s="103">
        <f t="shared" si="8"/>
        <v>32</v>
      </c>
      <c r="E116" s="103">
        <f t="shared" si="4"/>
        <v>32</v>
      </c>
      <c r="F116" s="82"/>
      <c r="G116" s="31" t="str">
        <f t="shared" si="5"/>
        <v/>
      </c>
      <c r="H116" s="33">
        <f t="shared" si="6"/>
        <v>0</v>
      </c>
      <c r="I116" s="80" t="s">
        <v>43</v>
      </c>
      <c r="J116" s="82"/>
      <c r="K116" s="122">
        <f t="shared" si="9"/>
        <v>0</v>
      </c>
      <c r="L116" s="31" t="str">
        <f t="shared" si="10"/>
        <v>0% van de inleg</v>
      </c>
      <c r="M116" s="31" t="str">
        <f t="shared" si="7"/>
        <v>€ 0,00</v>
      </c>
      <c r="N116" s="82"/>
      <c r="O116" s="84"/>
      <c r="P116" s="1200"/>
      <c r="Q116" s="412">
        <v>12</v>
      </c>
      <c r="R116" s="653" t="str">
        <f ca="1">Taal03!B46</f>
        <v>december</v>
      </c>
      <c r="S116" s="67"/>
      <c r="T116" s="67"/>
      <c r="U116" s="68"/>
    </row>
    <row r="117" spans="2:21" hidden="1" x14ac:dyDescent="0.25">
      <c r="B117" s="102">
        <v>3</v>
      </c>
      <c r="C117" s="29" t="s">
        <v>150</v>
      </c>
      <c r="D117" s="83"/>
      <c r="E117" s="30"/>
      <c r="F117" s="83"/>
      <c r="G117" s="31" t="str">
        <f>RIGHT(LEFT($F$85,B117),2)</f>
        <v>50</v>
      </c>
      <c r="H117" s="31">
        <f>IF(OR(G117="",G117="##"),"",IF(CODE(G117)=35,RIGHT(G117,1),G117)*1)</f>
        <v>50</v>
      </c>
      <c r="I117" s="75" t="s">
        <v>158</v>
      </c>
      <c r="J117" s="83"/>
      <c r="K117" s="83"/>
      <c r="L117" s="3"/>
      <c r="M117" s="3"/>
      <c r="N117" s="3"/>
      <c r="O117" s="74"/>
      <c r="Q117" s="408"/>
      <c r="R117" s="15"/>
      <c r="S117" s="15"/>
      <c r="T117" s="15"/>
      <c r="U117" s="15"/>
    </row>
    <row r="118" spans="2:21" hidden="1" x14ac:dyDescent="0.25">
      <c r="B118" s="102">
        <f t="shared" ref="B118:B126" si="11">B117+3</f>
        <v>6</v>
      </c>
      <c r="C118" s="3"/>
      <c r="D118" s="3"/>
      <c r="E118" s="3"/>
      <c r="F118" s="3"/>
      <c r="G118" s="31" t="str">
        <f>RIGHT(LEFT($F$85,B118),2)</f>
        <v>10</v>
      </c>
      <c r="H118" s="31">
        <f>IF(OR(G118="",G118="##"),"",IF(CODE(G118)=35,RIGHT(G118,1),G118)*1)</f>
        <v>10</v>
      </c>
      <c r="I118" s="75" t="s">
        <v>165</v>
      </c>
      <c r="J118" s="3"/>
      <c r="K118" s="3"/>
      <c r="L118" s="98"/>
      <c r="M118" s="3"/>
      <c r="N118" s="3"/>
      <c r="O118" s="74"/>
      <c r="Q118" s="660" t="s">
        <v>244</v>
      </c>
      <c r="R118" s="15"/>
      <c r="S118" s="15"/>
      <c r="T118" s="15"/>
      <c r="U118" s="15"/>
    </row>
    <row r="119" spans="2:21" hidden="1" x14ac:dyDescent="0.25">
      <c r="B119" s="102">
        <f t="shared" si="11"/>
        <v>9</v>
      </c>
      <c r="C119" s="1216" t="s">
        <v>62</v>
      </c>
      <c r="D119" s="1217"/>
      <c r="E119" s="612" t="s">
        <v>833</v>
      </c>
      <c r="F119" s="98"/>
      <c r="G119" s="31" t="str">
        <f>RIGHT(LEFT($F$85,B119),2)</f>
        <v>#0</v>
      </c>
      <c r="H119" s="31">
        <f>IF(OR(G119="",G119="##"),"",IF(CODE(G119)=35,RIGHT(G119,1),G119)*1)</f>
        <v>0</v>
      </c>
      <c r="I119" s="125" t="s">
        <v>164</v>
      </c>
      <c r="J119" s="3"/>
      <c r="K119" s="3"/>
      <c r="L119" s="3"/>
      <c r="M119" s="3"/>
      <c r="N119" s="118"/>
      <c r="O119" s="119"/>
      <c r="Q119" s="662" t="s">
        <v>245</v>
      </c>
      <c r="R119" s="15"/>
      <c r="S119" s="15"/>
      <c r="T119" s="15"/>
      <c r="U119" s="15"/>
    </row>
    <row r="120" spans="2:21" hidden="1" x14ac:dyDescent="0.25">
      <c r="B120" s="102">
        <f t="shared" si="11"/>
        <v>12</v>
      </c>
      <c r="C120" s="28"/>
      <c r="D120" s="3"/>
      <c r="E120" s="612"/>
      <c r="F120" s="98"/>
      <c r="G120" s="31" t="str">
        <f>RIGHT(LEFT($F$85,B120),2)</f>
        <v>10</v>
      </c>
      <c r="H120" s="31">
        <f>IF(OR(G120="",G120="##"),"",IF(CODE(G120)=35,RIGHT(G120,1),G120)*1)</f>
        <v>10</v>
      </c>
      <c r="I120" s="75" t="s">
        <v>163</v>
      </c>
      <c r="J120" s="98"/>
      <c r="K120" s="3"/>
      <c r="L120" s="3"/>
      <c r="M120" s="3"/>
      <c r="N120" s="3"/>
      <c r="O120" s="74"/>
      <c r="Q120" s="660" t="s">
        <v>246</v>
      </c>
      <c r="R120" s="15"/>
      <c r="S120" s="15"/>
      <c r="T120" s="15"/>
      <c r="U120" s="15"/>
    </row>
    <row r="121" spans="2:21" hidden="1" x14ac:dyDescent="0.25">
      <c r="B121" s="102">
        <f t="shared" si="11"/>
        <v>15</v>
      </c>
      <c r="C121" s="3"/>
      <c r="D121" s="98"/>
      <c r="E121" s="98"/>
      <c r="F121" s="98"/>
      <c r="G121" s="31" t="str">
        <f>RIGHT(LEFT($F$85,B121),2)</f>
        <v>#6</v>
      </c>
      <c r="H121" s="31">
        <f>IF(OR(G121="",G121="##"),"",IF(CODE(G121)=35,RIGHT(G121,1),G121)*1)</f>
        <v>6</v>
      </c>
      <c r="I121" s="75" t="s">
        <v>162</v>
      </c>
      <c r="J121" s="3"/>
      <c r="K121" s="3"/>
      <c r="L121" s="3"/>
      <c r="M121" s="3"/>
      <c r="N121" s="3"/>
      <c r="O121" s="74"/>
      <c r="Q121" s="662" t="s">
        <v>247</v>
      </c>
      <c r="R121" s="15"/>
      <c r="S121" s="15"/>
      <c r="T121" s="15"/>
      <c r="U121" s="15"/>
    </row>
    <row r="122" spans="2:21" hidden="1" x14ac:dyDescent="0.25">
      <c r="B122" s="102">
        <f t="shared" si="11"/>
        <v>18</v>
      </c>
      <c r="C122" s="3"/>
      <c r="D122" s="98"/>
      <c r="E122" s="98"/>
      <c r="F122" s="98"/>
      <c r="G122" s="31" t="str">
        <f t="shared" ref="G122:G126" si="12">RIGHT(LEFT($F$85,B122),2)</f>
        <v>#6</v>
      </c>
      <c r="H122" s="31">
        <f t="shared" ref="H122:H126" si="13">IF(OR(G122="",G122="##"),"",IF(CODE(G122)=35,RIGHT(G122,1),G122)*1)</f>
        <v>6</v>
      </c>
      <c r="I122" s="125" t="s">
        <v>161</v>
      </c>
      <c r="J122" s="3"/>
      <c r="K122" s="3"/>
      <c r="L122" s="3"/>
      <c r="M122" s="3"/>
      <c r="N122" s="3"/>
      <c r="O122" s="74"/>
      <c r="Q122" s="660" t="s">
        <v>251</v>
      </c>
      <c r="R122" s="15"/>
      <c r="S122" s="15"/>
      <c r="T122" s="15"/>
      <c r="U122" s="15"/>
    </row>
    <row r="123" spans="2:21" hidden="1" x14ac:dyDescent="0.25">
      <c r="B123" s="102">
        <f t="shared" si="11"/>
        <v>21</v>
      </c>
      <c r="C123" s="3"/>
      <c r="D123" s="3"/>
      <c r="E123" s="3"/>
      <c r="F123" s="3"/>
      <c r="G123" s="31" t="str">
        <f t="shared" si="12"/>
        <v>#6</v>
      </c>
      <c r="H123" s="657">
        <f t="shared" si="13"/>
        <v>6</v>
      </c>
      <c r="I123" s="3" t="s">
        <v>160</v>
      </c>
      <c r="J123" s="3"/>
      <c r="K123" s="3"/>
      <c r="L123" s="3"/>
      <c r="M123" s="3"/>
      <c r="N123" s="3"/>
      <c r="O123" s="74"/>
      <c r="Q123" s="662" t="s">
        <v>253</v>
      </c>
      <c r="R123" s="15"/>
      <c r="S123" s="15"/>
      <c r="T123" s="15"/>
      <c r="U123" s="15"/>
    </row>
    <row r="124" spans="2:21" hidden="1" x14ac:dyDescent="0.25">
      <c r="B124" s="102">
        <f t="shared" si="11"/>
        <v>24</v>
      </c>
      <c r="C124" s="3"/>
      <c r="D124" s="3"/>
      <c r="E124" s="3"/>
      <c r="F124" s="3"/>
      <c r="G124" s="31" t="str">
        <f t="shared" si="12"/>
        <v>#4</v>
      </c>
      <c r="H124" s="31">
        <f t="shared" si="13"/>
        <v>4</v>
      </c>
      <c r="I124" s="75" t="s">
        <v>159</v>
      </c>
      <c r="J124" s="3"/>
      <c r="K124" s="3"/>
      <c r="L124" s="3"/>
      <c r="M124" s="3"/>
      <c r="N124" s="3"/>
      <c r="O124" s="74"/>
      <c r="Q124" s="660" t="s">
        <v>252</v>
      </c>
      <c r="R124" s="15"/>
      <c r="S124" s="15"/>
      <c r="T124" s="15"/>
      <c r="U124" s="15"/>
    </row>
    <row r="125" spans="2:21" hidden="1" x14ac:dyDescent="0.25">
      <c r="B125" s="102">
        <f t="shared" si="11"/>
        <v>27</v>
      </c>
      <c r="C125" s="3"/>
      <c r="D125" s="3"/>
      <c r="E125" s="3"/>
      <c r="F125" s="3"/>
      <c r="G125" s="31" t="str">
        <f t="shared" si="12"/>
        <v>##</v>
      </c>
      <c r="H125" s="31" t="str">
        <f t="shared" si="13"/>
        <v/>
      </c>
      <c r="I125" s="75" t="s">
        <v>413</v>
      </c>
      <c r="J125" s="3"/>
      <c r="K125" s="3"/>
      <c r="L125" s="3"/>
      <c r="M125" s="3"/>
      <c r="N125" s="3"/>
      <c r="O125" s="74"/>
      <c r="Q125" s="662" t="s">
        <v>254</v>
      </c>
      <c r="R125" s="15"/>
      <c r="S125" s="15"/>
      <c r="T125" s="15"/>
      <c r="U125" s="15"/>
    </row>
    <row r="126" spans="2:21" hidden="1" x14ac:dyDescent="0.25">
      <c r="B126" s="102">
        <f t="shared" si="11"/>
        <v>30</v>
      </c>
      <c r="C126" s="3"/>
      <c r="D126" s="3"/>
      <c r="E126" s="3"/>
      <c r="F126" s="3"/>
      <c r="G126" s="31" t="str">
        <f t="shared" si="12"/>
        <v>##</v>
      </c>
      <c r="H126" s="31" t="str">
        <f t="shared" si="13"/>
        <v/>
      </c>
      <c r="I126" s="75" t="s">
        <v>443</v>
      </c>
      <c r="J126" s="3"/>
      <c r="K126" s="3"/>
      <c r="L126" s="3"/>
      <c r="M126" s="3"/>
      <c r="N126" s="3"/>
      <c r="O126" s="74"/>
      <c r="Q126" s="660" t="s">
        <v>248</v>
      </c>
      <c r="R126" s="15"/>
      <c r="S126" s="15"/>
      <c r="T126" s="15"/>
      <c r="U126" s="15"/>
    </row>
    <row r="127" spans="2:21" hidden="1" x14ac:dyDescent="0.25">
      <c r="B127" s="102">
        <f>B126+4</f>
        <v>34</v>
      </c>
      <c r="C127" s="956"/>
      <c r="D127" s="956"/>
      <c r="E127" s="956"/>
      <c r="F127" s="957" t="str">
        <f>IF(OR(G127="",G127="X##"),"",LEFT(G127,1))</f>
        <v/>
      </c>
      <c r="G127" s="957" t="str">
        <f>RIGHT(LEFT($F$85,B127),3)</f>
        <v>X##</v>
      </c>
      <c r="H127" s="957" t="str">
        <f>IF(OR(G127="",G127="X##"),"",SUBSTITUTE(RIGHT(G127,2),"#",0)*1)</f>
        <v/>
      </c>
      <c r="I127" s="125" t="s">
        <v>2042</v>
      </c>
      <c r="J127" s="3"/>
      <c r="K127" s="3"/>
      <c r="L127" s="3"/>
      <c r="M127" s="3"/>
      <c r="N127" s="3"/>
      <c r="O127" s="74"/>
      <c r="Q127" s="662" t="s">
        <v>249</v>
      </c>
      <c r="R127" s="15"/>
      <c r="S127" s="15"/>
      <c r="T127" s="15"/>
      <c r="U127" s="15"/>
    </row>
    <row r="128" spans="2:21" hidden="1" x14ac:dyDescent="0.25">
      <c r="B128" s="102">
        <f>B127+4</f>
        <v>38</v>
      </c>
      <c r="C128" s="956"/>
      <c r="D128" s="956"/>
      <c r="E128" s="956"/>
      <c r="F128" s="957" t="str">
        <f>IF(OR(G128="",G128="X##"),"",LEFT(G128,1))</f>
        <v/>
      </c>
      <c r="G128" s="957" t="str">
        <f>RIGHT(LEFT($F$85,B128),3)</f>
        <v>X##</v>
      </c>
      <c r="H128" s="957" t="str">
        <f>IF(OR(G128="",G128="X##"),"",SUBSTITUTE(RIGHT(G128,2),"#",0)*1)</f>
        <v/>
      </c>
      <c r="I128" s="125" t="s">
        <v>2043</v>
      </c>
      <c r="J128" s="3"/>
      <c r="K128" s="3"/>
      <c r="L128" s="3"/>
      <c r="M128" s="3"/>
      <c r="N128" s="3"/>
      <c r="O128" s="74"/>
      <c r="Q128" s="660" t="s">
        <v>242</v>
      </c>
      <c r="R128" s="15"/>
      <c r="S128" s="15"/>
      <c r="T128" s="15"/>
      <c r="U128" s="15"/>
    </row>
    <row r="129" spans="2:21" hidden="1" x14ac:dyDescent="0.25">
      <c r="B129" s="102">
        <f>B128+4</f>
        <v>42</v>
      </c>
      <c r="C129" s="956"/>
      <c r="D129" s="956"/>
      <c r="E129" s="956"/>
      <c r="F129" s="957" t="str">
        <f>IF(OR(G129="",G129="X##"),"",LEFT(G129,1))</f>
        <v/>
      </c>
      <c r="G129" s="957" t="str">
        <f>RIGHT(LEFT($F$85,B129),3)</f>
        <v>X##</v>
      </c>
      <c r="H129" s="957" t="str">
        <f>IF(OR(G129="",G129="X##"),"",SUBSTITUTE(RIGHT(G129,2),"#",0)*1)</f>
        <v/>
      </c>
      <c r="I129" s="125" t="s">
        <v>2044</v>
      </c>
      <c r="J129" s="3"/>
      <c r="K129" s="3"/>
      <c r="L129" s="3"/>
      <c r="M129" s="3"/>
      <c r="N129" s="3"/>
      <c r="O129" s="74"/>
      <c r="Q129" s="662" t="s">
        <v>243</v>
      </c>
      <c r="R129" s="15"/>
      <c r="S129" s="15"/>
      <c r="T129" s="15"/>
      <c r="U129" s="15"/>
    </row>
    <row r="130" spans="2:21" hidden="1" x14ac:dyDescent="0.25">
      <c r="B130" s="102">
        <f>B129+2</f>
        <v>44</v>
      </c>
      <c r="C130" s="3"/>
      <c r="D130" s="3"/>
      <c r="E130" s="3"/>
      <c r="F130" s="3"/>
      <c r="G130" s="1190" t="str">
        <f>RIGHT(LEFT($F$85,B130),1)</f>
        <v>B</v>
      </c>
      <c r="H130" s="1191"/>
      <c r="I130" s="75" t="s">
        <v>445</v>
      </c>
      <c r="J130" s="3"/>
      <c r="K130" s="3"/>
      <c r="L130" s="3"/>
      <c r="M130" s="3"/>
      <c r="N130" s="3"/>
      <c r="O130" s="74"/>
      <c r="Q130" s="660" t="s">
        <v>236</v>
      </c>
      <c r="R130" s="15"/>
      <c r="S130" s="15"/>
      <c r="T130" s="15"/>
      <c r="U130" s="15"/>
    </row>
    <row r="131" spans="2:21" hidden="1" x14ac:dyDescent="0.25">
      <c r="B131" s="102">
        <f>B130+1</f>
        <v>45</v>
      </c>
      <c r="C131" s="3"/>
      <c r="D131" s="3"/>
      <c r="E131" s="3"/>
      <c r="F131" s="3"/>
      <c r="G131" s="1190" t="str">
        <f>IF(RIGHT(LEFT($F$85,B131),1)="#","",RIGHT(LEFT($F$85,B131),1))</f>
        <v>A</v>
      </c>
      <c r="H131" s="1191"/>
      <c r="I131" s="75" t="s">
        <v>157</v>
      </c>
      <c r="J131" s="3"/>
      <c r="K131" s="3"/>
      <c r="L131" s="3"/>
      <c r="M131" s="3"/>
      <c r="N131" s="3"/>
      <c r="O131" s="74"/>
      <c r="Q131" s="662" t="s">
        <v>237</v>
      </c>
      <c r="R131" s="15"/>
      <c r="S131" s="15"/>
      <c r="T131" s="15"/>
      <c r="U131" s="15"/>
    </row>
    <row r="132" spans="2:21" hidden="1" x14ac:dyDescent="0.25">
      <c r="B132" s="102">
        <f>B131+1</f>
        <v>46</v>
      </c>
      <c r="C132" s="3"/>
      <c r="D132" s="3"/>
      <c r="E132" s="3"/>
      <c r="F132" s="3"/>
      <c r="G132" s="31" t="str">
        <f>RIGHT(LEFT($F$85,B132),1)</f>
        <v>#</v>
      </c>
      <c r="H132" s="62" t="str">
        <f>IF(OR(G132="",G132="#"),"",IF(G132="J","JA","NEE"))</f>
        <v/>
      </c>
      <c r="I132" s="75" t="s">
        <v>444</v>
      </c>
      <c r="J132" s="3"/>
      <c r="K132" s="3"/>
      <c r="L132" s="3"/>
      <c r="M132" s="3"/>
      <c r="N132" s="3"/>
      <c r="O132" s="74"/>
      <c r="Q132" s="660" t="s">
        <v>411</v>
      </c>
      <c r="R132" s="15"/>
      <c r="S132" s="15"/>
      <c r="T132" s="15"/>
      <c r="U132" s="15"/>
    </row>
    <row r="133" spans="2:21" hidden="1" x14ac:dyDescent="0.25">
      <c r="B133" s="105">
        <f>B132+1</f>
        <v>47</v>
      </c>
      <c r="C133" s="82"/>
      <c r="D133" s="82"/>
      <c r="E133" s="82"/>
      <c r="F133" s="82"/>
      <c r="G133" s="1190" t="str">
        <f>IF(RIGHT(LEFT($F$85,B133),1)="#","",RIGHT(LEFT($F$85,B133),1))</f>
        <v/>
      </c>
      <c r="H133" s="1191"/>
      <c r="I133" s="80" t="s">
        <v>414</v>
      </c>
      <c r="J133" s="82"/>
      <c r="K133" s="82"/>
      <c r="L133" s="82"/>
      <c r="M133" s="82"/>
      <c r="N133" s="82"/>
      <c r="O133" s="84"/>
      <c r="P133" s="15"/>
      <c r="Q133" s="662" t="s">
        <v>235</v>
      </c>
      <c r="R133" s="15"/>
      <c r="S133" s="15"/>
      <c r="T133" s="15"/>
      <c r="U133" s="15"/>
    </row>
    <row r="134" spans="2:21" hidden="1" x14ac:dyDescent="0.25">
      <c r="B134" s="15"/>
      <c r="C134" s="15" t="s">
        <v>255</v>
      </c>
      <c r="D134" s="15"/>
      <c r="E134" s="15"/>
      <c r="F134" s="15"/>
      <c r="G134" s="15" t="str">
        <f>IF(AND(Q81=1,OR(LEFT(G87,1)="d",LEFT(G87,1)="e",LEFT(G87,1)="f",LEFT(G87,1)="g")),"JA","NEE")</f>
        <v>NEE</v>
      </c>
      <c r="H134" s="15"/>
      <c r="I134" s="15"/>
      <c r="J134" s="15"/>
      <c r="K134" s="15"/>
      <c r="L134" s="15"/>
      <c r="M134" s="15"/>
      <c r="N134" s="15"/>
      <c r="O134" s="15"/>
      <c r="P134" s="15"/>
      <c r="Q134" s="663" t="s">
        <v>238</v>
      </c>
      <c r="R134" s="15"/>
      <c r="S134" s="15"/>
      <c r="T134" s="15"/>
      <c r="U134" s="15"/>
    </row>
    <row r="135" spans="2:21" hidden="1" x14ac:dyDescent="0.25">
      <c r="B135" s="15"/>
      <c r="C135" s="15" t="s">
        <v>466</v>
      </c>
      <c r="D135" s="15"/>
      <c r="E135" s="15"/>
      <c r="F135" s="15"/>
      <c r="G135" s="15" t="str">
        <f>IF(AND(Q81=1,G124="#0",H124=0),"NEE",IF(Q81=0,"NEE","JA"))</f>
        <v>JA</v>
      </c>
      <c r="H135" s="1203">
        <f>IF(Q81=1,(IF(G134="JA",2,1)&amp;IF(OR(G137="JA",G138="JA"),2,1))*1,"xx")</f>
        <v>12</v>
      </c>
      <c r="I135" s="15" t="s">
        <v>494</v>
      </c>
      <c r="J135" s="15"/>
      <c r="K135" s="15"/>
      <c r="L135" s="15"/>
      <c r="M135" s="15"/>
      <c r="N135" s="15"/>
      <c r="O135" s="15"/>
      <c r="P135" s="15"/>
      <c r="Q135" s="664" t="s">
        <v>239</v>
      </c>
      <c r="R135" s="15"/>
      <c r="S135" s="15"/>
      <c r="T135" s="15"/>
      <c r="U135" s="15"/>
    </row>
    <row r="136" spans="2:21" hidden="1" x14ac:dyDescent="0.25">
      <c r="B136" s="15"/>
      <c r="C136" s="15" t="s">
        <v>256</v>
      </c>
      <c r="D136" s="15"/>
      <c r="E136" s="15"/>
      <c r="F136" s="15"/>
      <c r="G136" s="15" t="str">
        <f>IF(AND(Q81=1,OR(LEFT(G87,1)="d",LEFT(G87,1)="f",LEFT(G87,1)="h",LEFT(G87,1)="j")),"JA","NEE")</f>
        <v>JA</v>
      </c>
      <c r="H136" s="1204"/>
      <c r="I136" s="15" t="s">
        <v>495</v>
      </c>
      <c r="J136" s="15"/>
      <c r="K136" s="15"/>
      <c r="L136" s="15"/>
      <c r="M136" s="15"/>
      <c r="N136" s="15"/>
      <c r="O136" s="15"/>
      <c r="P136" s="15"/>
      <c r="Q136" s="663" t="s">
        <v>240</v>
      </c>
      <c r="R136" s="15"/>
      <c r="S136" s="15"/>
      <c r="T136" s="15"/>
      <c r="U136" s="15"/>
    </row>
    <row r="137" spans="2:21" hidden="1" x14ac:dyDescent="0.25">
      <c r="B137" s="15"/>
      <c r="C137" s="15" t="s">
        <v>257</v>
      </c>
      <c r="D137" s="15"/>
      <c r="E137" s="15"/>
      <c r="F137" s="15"/>
      <c r="G137" s="15" t="str">
        <f>IF(AND(Q81=1,OR(LEFT(G87,1)="d",LEFT(G87,1)="e",LEFT(G87,1)="h",LEFT(G87,1)="i")),"JA","NEE")</f>
        <v>JA</v>
      </c>
      <c r="H137" s="1204"/>
      <c r="I137" s="15" t="s">
        <v>496</v>
      </c>
      <c r="J137" s="15"/>
      <c r="K137" s="15"/>
      <c r="L137" s="15"/>
      <c r="M137" s="15"/>
      <c r="N137" s="15"/>
      <c r="O137" s="15"/>
      <c r="P137" s="15"/>
      <c r="Q137" s="664" t="s">
        <v>241</v>
      </c>
      <c r="R137" s="15"/>
      <c r="S137" s="15"/>
      <c r="T137" s="15"/>
      <c r="U137" s="15"/>
    </row>
    <row r="138" spans="2:21" hidden="1" x14ac:dyDescent="0.25">
      <c r="B138" s="15"/>
      <c r="C138" s="15" t="s">
        <v>258</v>
      </c>
      <c r="D138" s="15"/>
      <c r="E138" s="15"/>
      <c r="F138" s="15"/>
      <c r="G138" s="15" t="str">
        <f>IF(AND(Q81=1,OR(LEFT(G87,1)="d",LEFT(G87,1)="e")),"JA","NEE")</f>
        <v>NEE</v>
      </c>
      <c r="H138" s="1205"/>
      <c r="I138" s="15" t="s">
        <v>497</v>
      </c>
      <c r="J138" s="15"/>
      <c r="K138" s="15"/>
      <c r="L138" s="15"/>
      <c r="M138" s="15"/>
      <c r="N138" s="15"/>
      <c r="O138" s="15"/>
      <c r="P138" s="15"/>
      <c r="Q138" s="15"/>
      <c r="R138" s="15"/>
      <c r="S138" s="15"/>
      <c r="T138" s="15"/>
      <c r="U138" s="15"/>
    </row>
    <row r="139" spans="2:21" hidden="1" x14ac:dyDescent="0.25">
      <c r="B139" s="15"/>
      <c r="C139" s="15" t="s">
        <v>100</v>
      </c>
      <c r="D139" s="15"/>
      <c r="E139" s="15"/>
      <c r="F139" s="15"/>
      <c r="G139" s="15" t="str">
        <f>IF(AND(Q81=1,OR(RIGHT(G87,1)="d",RIGHT(G87,1)="e",RIGHT(G87,1)="f",RIGHT(G87,1)="g")),"JA","NEE")</f>
        <v>JA</v>
      </c>
      <c r="H139" s="15"/>
      <c r="I139" s="459" t="s">
        <v>498</v>
      </c>
      <c r="J139" s="15"/>
      <c r="K139" s="15"/>
      <c r="L139" s="15"/>
      <c r="M139" s="15"/>
      <c r="N139" s="15"/>
      <c r="O139" s="15"/>
      <c r="P139" s="15"/>
      <c r="Q139" s="15"/>
      <c r="R139" s="15"/>
      <c r="S139" s="15"/>
      <c r="T139" s="15"/>
      <c r="U139" s="15"/>
    </row>
    <row r="140" spans="2:21" hidden="1" x14ac:dyDescent="0.25">
      <c r="B140" s="644"/>
      <c r="C140" s="645" t="s">
        <v>589</v>
      </c>
      <c r="D140" s="644"/>
      <c r="E140" s="644"/>
      <c r="F140" s="644"/>
      <c r="G140" s="646">
        <v>2</v>
      </c>
      <c r="H140" s="647" t="s">
        <v>932</v>
      </c>
      <c r="I140" s="644"/>
      <c r="J140" s="644"/>
      <c r="K140" s="644"/>
      <c r="L140" s="644"/>
      <c r="M140" s="644"/>
      <c r="N140" s="644"/>
      <c r="O140" s="644"/>
      <c r="P140" s="644"/>
      <c r="Q140" s="644"/>
      <c r="R140" s="644"/>
      <c r="S140" s="644"/>
      <c r="T140" s="644"/>
      <c r="U140" s="644"/>
    </row>
  </sheetData>
  <sheetProtection algorithmName="SHA-512" hashValue="T3KO104W6WX4nCgORQqgrDcm2532a7siVQ2vKpH+Blo1uiKRewOueyTvmfjx3YSCKQUiuUIEx02aTtROSmhtKg==" saltValue="POKs5z9b07Sx/sv09XgGKQ=="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3" priority="58">
      <formula>$Q$81=0</formula>
    </cfRule>
  </conditionalFormatting>
  <conditionalFormatting sqref="C2:N2">
    <cfRule type="expression" dxfId="82" priority="1">
      <formula>$Q$81=0</formula>
    </cfRule>
  </conditionalFormatting>
  <conditionalFormatting sqref="D3 M3 D5 D27 D71 M71">
    <cfRule type="expression" dxfId="81" priority="57">
      <formula>$A$1="A000000000"</formula>
    </cfRule>
    <cfRule type="expression" dxfId="80" priority="60">
      <formula>$A$1="A255255255"</formula>
    </cfRule>
  </conditionalFormatting>
  <conditionalFormatting sqref="E29:E68">
    <cfRule type="expression" dxfId="79" priority="61">
      <formula>OR(R29=100,R29=200,R29=300,R29=400,R29=500,R29=600)</formula>
    </cfRule>
  </conditionalFormatting>
  <conditionalFormatting sqref="E29:N68">
    <cfRule type="expression" dxfId="78"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4"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4" t="str">
        <f>Voorblad!A1</f>
        <v>A255255255</v>
      </c>
      <c r="B1" s="94" t="str">
        <f>Voorblad!B1</f>
        <v>B000080160</v>
      </c>
      <c r="C1" s="94" t="str">
        <f>Voorblad!C1</f>
        <v>C150200250</v>
      </c>
      <c r="D1" s="94" t="str">
        <f>Voorblad!D1</f>
        <v>D000080160</v>
      </c>
      <c r="E1" s="1053" t="str">
        <f>Voorblad!E1</f>
        <v>E000080160</v>
      </c>
      <c r="F1" s="99"/>
      <c r="G1" s="99"/>
      <c r="H1" s="99"/>
      <c r="I1" s="99"/>
      <c r="J1" s="99"/>
      <c r="K1" s="99"/>
      <c r="L1" s="99"/>
      <c r="M1" s="99"/>
      <c r="O1" s="49"/>
      <c r="Q1" s="5"/>
      <c r="R1" s="5"/>
    </row>
    <row r="2" spans="1:23" ht="15" customHeight="1" x14ac:dyDescent="0.25">
      <c r="B2" s="106"/>
      <c r="C2" s="1187" t="str">
        <f>IF(AND(N91=0,P91=1),"LET OP: DEZE POOL MAAKT GEEN GEBRUIKT VAN EEN PRIJZENPOT",Reglement!C2)</f>
        <v/>
      </c>
      <c r="D2" s="1187"/>
      <c r="E2" s="1187"/>
      <c r="F2" s="1187"/>
      <c r="G2" s="1187"/>
      <c r="H2" s="1187"/>
      <c r="I2" s="1187"/>
      <c r="J2" s="1187"/>
      <c r="K2" s="1187"/>
      <c r="L2" s="1187"/>
      <c r="M2" s="1187"/>
      <c r="N2" s="1187"/>
      <c r="O2" s="445"/>
      <c r="Q2" s="5"/>
      <c r="R2" s="5"/>
      <c r="S2" s="1144" t="str">
        <f ca="1">Taal01!$B$38</f>
        <v>Prijzenpot</v>
      </c>
      <c r="T2" s="1144"/>
      <c r="U2" s="1144"/>
      <c r="V2" s="1144"/>
      <c r="W2" s="1144"/>
    </row>
    <row r="3" spans="1:23" ht="15" customHeight="1" x14ac:dyDescent="0.25">
      <c r="B3" s="17"/>
      <c r="C3" s="1075"/>
      <c r="D3" s="1089" t="str">
        <f ca="1">IF(P91=1,Taal03!B6&amp;IF(Q5*Q7=1," "&amp;SUBSTITUTE(Taal03!B7,"#",2),""),"")</f>
        <v>Het Algemeen Reglement (pagina 2)</v>
      </c>
      <c r="E3" s="1077"/>
      <c r="F3" s="1077"/>
      <c r="G3" s="1077"/>
      <c r="H3" s="1077"/>
      <c r="I3" s="1077"/>
      <c r="J3" s="1077"/>
      <c r="K3" s="1077"/>
      <c r="L3" s="1077"/>
      <c r="M3" s="1085" t="str">
        <f ca="1">Reglement!M3</f>
        <v>EURO 2024: EK Polo-poule</v>
      </c>
      <c r="N3" s="1079"/>
      <c r="O3" s="17"/>
      <c r="Q3" s="5"/>
      <c r="R3" s="5"/>
      <c r="S3" s="1144"/>
      <c r="T3" s="1144"/>
      <c r="U3" s="1144"/>
      <c r="V3" s="1144"/>
      <c r="W3" s="1144"/>
    </row>
    <row r="4" spans="1:23" ht="15" customHeight="1" x14ac:dyDescent="0.25">
      <c r="B4" s="17"/>
      <c r="C4" s="17"/>
      <c r="D4" s="17"/>
      <c r="E4" s="17"/>
      <c r="F4" s="17"/>
      <c r="G4" s="17"/>
      <c r="H4" s="17"/>
      <c r="I4" s="17"/>
      <c r="J4" s="17"/>
      <c r="K4" s="17"/>
      <c r="L4" s="17"/>
      <c r="M4" s="17"/>
      <c r="N4" s="17"/>
      <c r="O4" s="445"/>
      <c r="Q4" s="53"/>
      <c r="R4" s="53"/>
      <c r="S4" s="1144"/>
      <c r="T4" s="1144"/>
      <c r="U4" s="1144"/>
      <c r="V4" s="1144"/>
      <c r="W4" s="1144"/>
    </row>
    <row r="5" spans="1:23" ht="15" customHeight="1" x14ac:dyDescent="0.25">
      <c r="B5" s="17"/>
      <c r="C5" s="1075"/>
      <c r="D5" s="1089" t="str">
        <f ca="1">IF(P91=1,Taal03!B159,"")</f>
        <v>De Prijzenpot</v>
      </c>
      <c r="E5" s="1077"/>
      <c r="F5" s="1077"/>
      <c r="G5" s="1077"/>
      <c r="H5" s="1077"/>
      <c r="I5" s="1077"/>
      <c r="J5" s="1077"/>
      <c r="K5" s="1077"/>
      <c r="L5" s="1077"/>
      <c r="M5" s="1077"/>
      <c r="N5" s="1079"/>
      <c r="O5" s="445"/>
      <c r="Q5" s="22">
        <f>N91*P91</f>
        <v>1</v>
      </c>
      <c r="R5" s="395" t="s">
        <v>442</v>
      </c>
    </row>
    <row r="6" spans="1:23" ht="15" customHeight="1" x14ac:dyDescent="0.25">
      <c r="B6" s="17"/>
      <c r="C6" s="1049"/>
      <c r="D6" s="17"/>
      <c r="E6" s="17"/>
      <c r="F6" s="17"/>
      <c r="G6" s="17"/>
      <c r="H6" s="17"/>
      <c r="I6" s="17"/>
      <c r="J6" s="17"/>
      <c r="K6" s="17"/>
      <c r="L6" s="17"/>
      <c r="M6" s="17"/>
      <c r="N6" s="61"/>
      <c r="O6" s="445"/>
      <c r="Q6" s="37"/>
      <c r="R6" s="37"/>
    </row>
    <row r="7" spans="1:23" ht="15" customHeight="1" x14ac:dyDescent="0.25">
      <c r="B7" s="17"/>
      <c r="C7" s="1049"/>
      <c r="D7" s="392" t="str">
        <f ca="1">IF(Q7=1,IF(H98=0,Taal03!$B$164,SUBSTITUTE(IF(Prijzenpot!Q9="JA",Taal03!$B$162,Taal03!$B$160),"###",Q8)),"")</f>
        <v>De inleg voor deelname aan deze pool is € 10,00. U kunt er ook voor kiezen om zonder inleg deel te nemen</v>
      </c>
      <c r="E7" s="17"/>
      <c r="F7" s="382"/>
      <c r="G7" s="382"/>
      <c r="H7" s="382"/>
      <c r="I7" s="382"/>
      <c r="J7" s="382"/>
      <c r="K7" s="382"/>
      <c r="L7" s="382"/>
      <c r="M7" s="382"/>
      <c r="N7" s="61"/>
      <c r="O7" s="445"/>
      <c r="Q7" s="22">
        <f>IF($N$91=1,1,"")</f>
        <v>1</v>
      </c>
      <c r="R7" s="23" t="s">
        <v>438</v>
      </c>
    </row>
    <row r="8" spans="1:23" ht="15" customHeight="1" x14ac:dyDescent="0.25">
      <c r="B8" s="17"/>
      <c r="C8" s="1049"/>
      <c r="D8" s="392" t="str">
        <f ca="1">IF(Q7=1,IF(H98=0,Taal03!$B$165,SUBSTITUTE(IF(Prijzenpot!Q9="JA",Taal03!$B$163,Taal03!$B$161),"###",Q8)),"")</f>
        <v>aan deze pool. U kunt dan ook geen aanspraak maken op de prijzenpot aan het einde van het toernooi¹.</v>
      </c>
      <c r="E8" s="17"/>
      <c r="F8" s="382"/>
      <c r="G8" s="382"/>
      <c r="H8" s="382"/>
      <c r="I8" s="382"/>
      <c r="J8" s="382"/>
      <c r="K8" s="382"/>
      <c r="L8" s="382"/>
      <c r="M8" s="382"/>
      <c r="N8" s="61"/>
      <c r="O8" s="445"/>
      <c r="Q8" s="22" t="str">
        <f>IF($N$91=1,$M$98,"")</f>
        <v>€ 10,00</v>
      </c>
      <c r="R8" s="23" t="s">
        <v>60</v>
      </c>
    </row>
    <row r="9" spans="1:23" ht="15" customHeight="1" x14ac:dyDescent="0.25">
      <c r="B9" s="17"/>
      <c r="C9" s="1049"/>
      <c r="D9" s="393"/>
      <c r="E9" s="382"/>
      <c r="F9" s="382"/>
      <c r="G9" s="382"/>
      <c r="H9" s="382"/>
      <c r="I9" s="382"/>
      <c r="J9" s="382"/>
      <c r="K9" s="382"/>
      <c r="L9" s="382"/>
      <c r="M9" s="382"/>
      <c r="N9" s="61"/>
      <c r="O9" s="445"/>
      <c r="Q9" s="397" t="str">
        <f>IF($N$91=1,C97,"")</f>
        <v>JA</v>
      </c>
      <c r="R9" s="116" t="s">
        <v>853</v>
      </c>
    </row>
    <row r="10" spans="1:23" ht="15" customHeight="1" x14ac:dyDescent="0.25">
      <c r="A10" s="94" t="str">
        <f>IF($Q$5=0,"",IF(H98=0,"H",""))</f>
        <v/>
      </c>
      <c r="B10" s="17"/>
      <c r="C10" s="1049"/>
      <c r="D10" s="392" t="str">
        <f ca="1">IF(Q7=1,IF(H98=0,"",IF(Q9="JA",Taal03!B168,Taal03!B166)),"")</f>
        <v>De eventuele inleg dient voor aanvang van het toernooi betaald te worden aan de organisator.</v>
      </c>
      <c r="E10" s="382"/>
      <c r="F10" s="382"/>
      <c r="G10" s="382"/>
      <c r="H10" s="382"/>
      <c r="I10" s="382"/>
      <c r="J10" s="382"/>
      <c r="K10" s="382"/>
      <c r="L10" s="382"/>
      <c r="M10" s="382"/>
      <c r="N10" s="61"/>
      <c r="O10" s="445"/>
      <c r="Q10" s="38"/>
      <c r="R10" s="51"/>
    </row>
    <row r="11" spans="1:23" ht="15" customHeight="1" x14ac:dyDescent="0.25">
      <c r="A11" s="94" t="str">
        <f>IF($Q$5=0,"",IF(H98=0,"H",""))</f>
        <v/>
      </c>
      <c r="B11" s="17"/>
      <c r="C11" s="1049"/>
      <c r="D11" s="392" t="str">
        <f ca="1">IF(Q7=1,IF(H98=0,"",IF(Q9="JA",Taal03!B169,Taal03!B167)),"")</f>
        <v>Is dit niet op tijd gedaan dan zal u ook niet deelnemen in de prijzenpot.</v>
      </c>
      <c r="E11" s="382"/>
      <c r="F11" s="382"/>
      <c r="G11" s="382"/>
      <c r="H11" s="382"/>
      <c r="I11" s="382"/>
      <c r="J11" s="382"/>
      <c r="K11" s="382"/>
      <c r="L11" s="382"/>
      <c r="M11" s="382"/>
      <c r="N11" s="61"/>
      <c r="O11" s="445"/>
      <c r="Q11" s="38"/>
      <c r="R11" s="51"/>
    </row>
    <row r="12" spans="1:23" ht="15" customHeight="1" x14ac:dyDescent="0.25">
      <c r="A12" s="94" t="str">
        <f>IF($Q$5=0,"",IF(H98=0,"H",""))</f>
        <v/>
      </c>
      <c r="B12" s="17"/>
      <c r="C12" s="1049"/>
      <c r="D12" s="393"/>
      <c r="E12" s="382"/>
      <c r="F12" s="382"/>
      <c r="G12" s="382"/>
      <c r="H12" s="382"/>
      <c r="I12" s="382"/>
      <c r="J12" s="382"/>
      <c r="K12" s="382"/>
      <c r="L12" s="382"/>
      <c r="M12" s="382"/>
      <c r="N12" s="61"/>
      <c r="O12" s="445"/>
      <c r="Q12" s="38"/>
      <c r="R12" s="51"/>
    </row>
    <row r="13" spans="1:23" ht="15" customHeight="1" x14ac:dyDescent="0.25">
      <c r="A13" s="94" t="str">
        <f>IF($Q$5=0,"",IF(H98=0,"H",""))</f>
        <v/>
      </c>
      <c r="B13" s="17"/>
      <c r="C13" s="1049"/>
      <c r="D13" s="392" t="str">
        <f ca="1">IF(H98=0,"",IF(Q13="A",Taal03!$B$170,IF(Q13="B",Taal03!$B$171,IF(Q13="C",Taal03!$B$172,IF(Q13="D",Taal03!$B$173,IF(Q13="E",Taal03!$B$174,""))))))</f>
        <v>De inleg dient met door middel van een contante betaling te voldoen.</v>
      </c>
      <c r="E13" s="17"/>
      <c r="F13" s="382"/>
      <c r="G13" s="382"/>
      <c r="H13" s="382"/>
      <c r="I13" s="382"/>
      <c r="J13" s="382"/>
      <c r="K13" s="382"/>
      <c r="L13" s="382"/>
      <c r="M13" s="382"/>
      <c r="N13" s="61"/>
      <c r="O13" s="445"/>
      <c r="Q13" s="619" t="str">
        <f>IF($N$91=1,$Q$102,"")</f>
        <v>A</v>
      </c>
      <c r="R13" s="620" t="s">
        <v>434</v>
      </c>
    </row>
    <row r="14" spans="1:23" ht="15" hidden="1" customHeight="1" x14ac:dyDescent="0.25">
      <c r="A14" s="94" t="str">
        <f>IF($Q$5=0,"",IF(Q14="","H",""))</f>
        <v>H</v>
      </c>
      <c r="B14" s="17"/>
      <c r="C14" s="1049"/>
      <c r="D14" s="394" t="str">
        <f>IF(OR(Q13="B",Q13="C"),"- "&amp;Taal03!$B$175,"")</f>
        <v/>
      </c>
      <c r="E14" s="17"/>
      <c r="F14" s="365"/>
      <c r="G14" s="27" t="str">
        <f>IF(OR(Q13="B",Q13="C"),": "&amp;Q14,"")</f>
        <v/>
      </c>
      <c r="H14" s="382"/>
      <c r="I14" s="382"/>
      <c r="J14" s="382"/>
      <c r="K14" s="382"/>
      <c r="L14" s="382"/>
      <c r="M14" s="382"/>
      <c r="N14" s="61"/>
      <c r="O14" s="445"/>
      <c r="Q14" s="38" t="str">
        <f>IF(AND($N$91=1,OR(Q13="B",Q13="C")),SUBSTITUTE($Q$104,"*#"," "),"")</f>
        <v/>
      </c>
      <c r="R14" s="51" t="s">
        <v>435</v>
      </c>
    </row>
    <row r="15" spans="1:23" ht="15" hidden="1" customHeight="1" x14ac:dyDescent="0.25">
      <c r="A15" s="94" t="str">
        <f>IF($Q$5=0,"",IF(Q15="","H",""))</f>
        <v>H</v>
      </c>
      <c r="B15" s="17"/>
      <c r="C15" s="1049"/>
      <c r="D15" s="394" t="str">
        <f>IF(OR(Q13="B",Q13="C"),"- "&amp;Taal03!$B$176,"")</f>
        <v/>
      </c>
      <c r="E15" s="17"/>
      <c r="F15" s="382"/>
      <c r="G15" s="27" t="str">
        <f>IF(OR(Q13="B",Q13="C"),": "&amp;Q15,"")</f>
        <v/>
      </c>
      <c r="H15" s="382"/>
      <c r="I15" s="382"/>
      <c r="J15" s="382"/>
      <c r="K15" s="382"/>
      <c r="L15" s="382"/>
      <c r="M15" s="382"/>
      <c r="N15" s="61"/>
      <c r="O15" s="445"/>
      <c r="Q15" s="38" t="str">
        <f>IF(AND($N$91=1,OR(Q13="B",Q13="C")),SUBSTITUTE($Q$105,"*#"," "),"")</f>
        <v/>
      </c>
      <c r="R15" s="51" t="s">
        <v>436</v>
      </c>
    </row>
    <row r="16" spans="1:23" ht="15" hidden="1" customHeight="1" x14ac:dyDescent="0.25">
      <c r="A16" s="94" t="str">
        <f>IF($Q$5=0,"",IF(Q16="","H",""))</f>
        <v>H</v>
      </c>
      <c r="B16" s="17"/>
      <c r="C16" s="1049"/>
      <c r="D16" s="394" t="str">
        <f>IF(OR(Q13="B",Q13="C"),"- "&amp;Taal03!$B$177,"")</f>
        <v/>
      </c>
      <c r="E16" s="17"/>
      <c r="F16" s="382"/>
      <c r="G16" s="27" t="str">
        <f>IF(OR(Q13="B",Q13="C"),": "&amp;Q16,"")</f>
        <v/>
      </c>
      <c r="H16" s="382"/>
      <c r="I16" s="382"/>
      <c r="J16" s="382"/>
      <c r="K16" s="382"/>
      <c r="L16" s="382"/>
      <c r="M16" s="382"/>
      <c r="N16" s="61"/>
      <c r="O16" s="445"/>
      <c r="Q16" s="38" t="str">
        <f>IF(AND($N$91=1,OR(Q13="B",Q13="C")),SUBSTITUTE($Q$106,"*#"," "),"")</f>
        <v/>
      </c>
      <c r="R16" s="51" t="s">
        <v>437</v>
      </c>
    </row>
    <row r="17" spans="1:18" ht="15" customHeight="1" x14ac:dyDescent="0.25">
      <c r="A17" s="94" t="str">
        <f>IF($Q$5=0,"",IF(H98=0,"H",""))</f>
        <v/>
      </c>
      <c r="B17" s="17"/>
      <c r="C17" s="1049"/>
      <c r="D17" s="393"/>
      <c r="E17" s="382"/>
      <c r="F17" s="382"/>
      <c r="G17" s="382"/>
      <c r="H17" s="382"/>
      <c r="I17" s="382"/>
      <c r="J17" s="382"/>
      <c r="K17" s="382"/>
      <c r="L17" s="382"/>
      <c r="M17" s="382"/>
      <c r="N17" s="61"/>
      <c r="O17" s="445"/>
      <c r="Q17" s="618"/>
      <c r="R17" s="618"/>
    </row>
    <row r="18" spans="1:18" ht="15" hidden="1" customHeight="1" x14ac:dyDescent="0.25">
      <c r="A18" s="94" t="str">
        <f>IF($Q$5=0,"",IF(Q18="","H",""))</f>
        <v>H</v>
      </c>
      <c r="B18" s="17"/>
      <c r="C18" s="1049"/>
      <c r="D18" s="364" t="str">
        <f>IF(OR(Q18="A",Q18="B",Q18="C"),SUBSTITUTE(SUBSTITUTE(IF(Q18="A",Taal03!$B$178,IF(Q18="B",Taal03!$B$179,Taal03!$B$180)),"###",Q108),"$$$",SUBSTITUTE(Q107,"*#"," ")),"")</f>
        <v/>
      </c>
      <c r="E18" s="17"/>
      <c r="F18" s="382"/>
      <c r="G18" s="382"/>
      <c r="H18" s="382"/>
      <c r="I18" s="382"/>
      <c r="J18" s="382"/>
      <c r="K18" s="382"/>
      <c r="L18" s="382"/>
      <c r="M18" s="382"/>
      <c r="N18" s="61"/>
      <c r="O18" s="445"/>
      <c r="Q18" s="38" t="str">
        <f>IF($N$91=1,IF($Q$103="D","",$Q$103),"")</f>
        <v/>
      </c>
      <c r="R18" s="51" t="s">
        <v>1261</v>
      </c>
    </row>
    <row r="19" spans="1:18" ht="15" hidden="1" customHeight="1" x14ac:dyDescent="0.25">
      <c r="A19" s="94" t="str">
        <f>IF($Q$5=0,"",IF(Q19="","H",""))</f>
        <v>H</v>
      </c>
      <c r="B19" s="17"/>
      <c r="C19" s="1049"/>
      <c r="D19" s="393"/>
      <c r="E19" s="365"/>
      <c r="F19" s="382"/>
      <c r="G19" s="382"/>
      <c r="H19" s="382"/>
      <c r="I19" s="382"/>
      <c r="J19" s="382"/>
      <c r="K19" s="382"/>
      <c r="L19" s="382"/>
      <c r="M19" s="382"/>
      <c r="N19" s="61"/>
      <c r="O19" s="445"/>
      <c r="Q19" s="398" t="str">
        <f>IF(Q18="B","-","")</f>
        <v/>
      </c>
      <c r="R19" s="396"/>
    </row>
    <row r="20" spans="1:18" ht="15" customHeight="1" x14ac:dyDescent="0.25">
      <c r="B20" s="17"/>
      <c r="C20" s="1049"/>
      <c r="D20" s="392" t="str">
        <f ca="1">IF(Q7=1,Taal03!$B$182,"")</f>
        <v>Indien meerdere spelers op dezelfde positie staan en recht hebben op prijzengeld zal de totale som</v>
      </c>
      <c r="E20" s="17"/>
      <c r="F20" s="365"/>
      <c r="G20" s="365"/>
      <c r="H20" s="365"/>
      <c r="I20" s="382"/>
      <c r="J20" s="382"/>
      <c r="K20" s="382"/>
      <c r="L20" s="382"/>
      <c r="M20" s="382"/>
      <c r="N20" s="61"/>
      <c r="O20" s="445"/>
      <c r="Q20" s="22">
        <f>IF($N$91=1,IF($G$95="E",1,2),"")</f>
        <v>2</v>
      </c>
      <c r="R20" s="23" t="s">
        <v>61</v>
      </c>
    </row>
    <row r="21" spans="1:18" ht="15" customHeight="1" x14ac:dyDescent="0.25">
      <c r="B21" s="17"/>
      <c r="C21" s="1049"/>
      <c r="D21" s="392" t="str">
        <f ca="1">IF(Q7=1,Taal03!$B$183,"")</f>
        <v>van het prijzengeld voor de gedeelde plekken verdeeld worden onder de rechthebbenden.</v>
      </c>
      <c r="E21" s="17"/>
      <c r="F21" s="382"/>
      <c r="G21" s="382"/>
      <c r="H21" s="382"/>
      <c r="I21" s="382"/>
      <c r="J21" s="382"/>
      <c r="K21" s="382"/>
      <c r="L21" s="382"/>
      <c r="M21" s="382"/>
      <c r="N21" s="61"/>
      <c r="O21" s="445"/>
      <c r="Q21" s="37"/>
      <c r="R21" s="37"/>
    </row>
    <row r="22" spans="1:18" ht="15" customHeight="1" x14ac:dyDescent="0.25">
      <c r="B22" s="17"/>
      <c r="C22" s="1049"/>
      <c r="D22" s="382"/>
      <c r="E22" s="382"/>
      <c r="F22" s="382"/>
      <c r="G22" s="382"/>
      <c r="H22" s="382"/>
      <c r="I22" s="382"/>
      <c r="J22" s="382"/>
      <c r="K22" s="382"/>
      <c r="L22" s="382"/>
      <c r="M22" s="382"/>
      <c r="N22" s="61"/>
      <c r="O22" s="445"/>
      <c r="Q22" s="115"/>
      <c r="R22" s="115"/>
    </row>
    <row r="23" spans="1:18" ht="15" customHeight="1" x14ac:dyDescent="0.25">
      <c r="A23" s="94" t="str">
        <f t="shared" ref="A23:A39" si="0">IF($Q$5=0,"",IF(Q23="","H",""))</f>
        <v/>
      </c>
      <c r="B23" s="17"/>
      <c r="C23" s="1049"/>
      <c r="D23" s="392" t="str">
        <f ca="1">IF(AND(Q7=1,Q33="-"),Taal03!$B$184,"")</f>
        <v>De verdeling van het prijzengeld gebeurt als volgt:</v>
      </c>
      <c r="E23" s="382"/>
      <c r="F23" s="382"/>
      <c r="G23" s="382"/>
      <c r="H23" s="382"/>
      <c r="I23" s="382"/>
      <c r="J23" s="24" t="str">
        <f ca="1">IF(Q23=1,Taal03!$B$185,"")</f>
        <v>Nr.</v>
      </c>
      <c r="K23" s="25" t="str">
        <f>IF(Q23=1,"1 :","")</f>
        <v>1 :</v>
      </c>
      <c r="L23" s="26" t="str">
        <f t="shared" ref="L23:L32" ca="1" si="1">IF(Q23=1,IF($Q$20=1,M99,L99),"")</f>
        <v>50% van de prijzenpot</v>
      </c>
      <c r="M23" s="382"/>
      <c r="N23" s="61"/>
      <c r="O23" s="445"/>
      <c r="Q23" s="38">
        <f t="shared" ref="Q23:Q32" si="2">IF($N$91=0,"",IF(H99=0,"",1))</f>
        <v>1</v>
      </c>
      <c r="R23" s="51" t="s">
        <v>439</v>
      </c>
    </row>
    <row r="24" spans="1:18" ht="15" customHeight="1" x14ac:dyDescent="0.25">
      <c r="A24" s="94" t="str">
        <f t="shared" si="0"/>
        <v/>
      </c>
      <c r="B24" s="17"/>
      <c r="C24" s="1049"/>
      <c r="D24" s="382"/>
      <c r="E24" s="382"/>
      <c r="F24" s="382"/>
      <c r="G24" s="382"/>
      <c r="H24" s="382"/>
      <c r="I24" s="382"/>
      <c r="J24" s="24" t="str">
        <f ca="1">IF(Q24=1,Taal03!$B$185,"")</f>
        <v>Nr.</v>
      </c>
      <c r="K24" s="25" t="str">
        <f>IF(Q24=1,"2 :","")</f>
        <v>2 :</v>
      </c>
      <c r="L24" s="26" t="str">
        <f t="shared" ca="1" si="1"/>
        <v>30% van de prijzenpot</v>
      </c>
      <c r="M24" s="382"/>
      <c r="N24" s="61"/>
      <c r="O24" s="445"/>
      <c r="Q24" s="38">
        <f t="shared" si="2"/>
        <v>1</v>
      </c>
      <c r="R24" s="51" t="s">
        <v>439</v>
      </c>
    </row>
    <row r="25" spans="1:18" ht="15" customHeight="1" x14ac:dyDescent="0.25">
      <c r="A25" s="94" t="str">
        <f t="shared" si="0"/>
        <v/>
      </c>
      <c r="B25" s="17"/>
      <c r="C25" s="1049"/>
      <c r="D25" s="382"/>
      <c r="E25" s="382"/>
      <c r="F25" s="382"/>
      <c r="G25" s="382"/>
      <c r="H25" s="382"/>
      <c r="I25" s="382"/>
      <c r="J25" s="24" t="str">
        <f ca="1">IF(Q25=1,Taal03!$B$185,"")</f>
        <v>Nr.</v>
      </c>
      <c r="K25" s="25" t="str">
        <f>IF(Q25=1,"3 :","")</f>
        <v>3 :</v>
      </c>
      <c r="L25" s="26" t="str">
        <f t="shared" ca="1" si="1"/>
        <v>20% van de prijzenpot</v>
      </c>
      <c r="M25" s="382"/>
      <c r="N25" s="61"/>
      <c r="O25" s="445"/>
      <c r="Q25" s="38">
        <f t="shared" si="2"/>
        <v>1</v>
      </c>
      <c r="R25" s="51" t="s">
        <v>439</v>
      </c>
    </row>
    <row r="26" spans="1:18" ht="15" hidden="1" customHeight="1" x14ac:dyDescent="0.25">
      <c r="A26" s="94" t="str">
        <f t="shared" si="0"/>
        <v>H</v>
      </c>
      <c r="B26" s="17"/>
      <c r="C26" s="1049"/>
      <c r="D26" s="382"/>
      <c r="E26" s="382"/>
      <c r="F26" s="382"/>
      <c r="G26" s="382"/>
      <c r="H26" s="382"/>
      <c r="I26" s="382"/>
      <c r="J26" s="24" t="str">
        <f>IF(Q26=1,Taal03!$B$185,"")</f>
        <v/>
      </c>
      <c r="K26" s="25" t="str">
        <f>IF(Q26=1,"4 :","")</f>
        <v/>
      </c>
      <c r="L26" s="26" t="str">
        <f t="shared" si="1"/>
        <v/>
      </c>
      <c r="M26" s="382"/>
      <c r="N26" s="61"/>
      <c r="O26" s="445"/>
      <c r="Q26" s="38" t="str">
        <f t="shared" si="2"/>
        <v/>
      </c>
      <c r="R26" s="51" t="s">
        <v>439</v>
      </c>
    </row>
    <row r="27" spans="1:18" ht="15" hidden="1" customHeight="1" x14ac:dyDescent="0.25">
      <c r="A27" s="94" t="str">
        <f t="shared" si="0"/>
        <v>H</v>
      </c>
      <c r="B27" s="17"/>
      <c r="C27" s="1049"/>
      <c r="D27" s="382"/>
      <c r="E27" s="382"/>
      <c r="F27" s="382"/>
      <c r="G27" s="382"/>
      <c r="H27" s="382"/>
      <c r="I27" s="382"/>
      <c r="J27" s="24" t="str">
        <f>IF(Q27=1,Taal03!$B$185,"")</f>
        <v/>
      </c>
      <c r="K27" s="25" t="str">
        <f>IF(Q27=1,"5 :","")</f>
        <v/>
      </c>
      <c r="L27" s="26" t="str">
        <f t="shared" si="1"/>
        <v/>
      </c>
      <c r="M27" s="382"/>
      <c r="N27" s="61"/>
      <c r="O27" s="445"/>
      <c r="Q27" s="38" t="str">
        <f t="shared" si="2"/>
        <v/>
      </c>
      <c r="R27" s="51" t="s">
        <v>439</v>
      </c>
    </row>
    <row r="28" spans="1:18" ht="15" hidden="1" customHeight="1" x14ac:dyDescent="0.25">
      <c r="A28" s="94" t="str">
        <f t="shared" si="0"/>
        <v>H</v>
      </c>
      <c r="B28" s="17"/>
      <c r="C28" s="1049"/>
      <c r="D28" s="382"/>
      <c r="E28" s="382"/>
      <c r="F28" s="382"/>
      <c r="G28" s="382"/>
      <c r="H28" s="382"/>
      <c r="I28" s="382"/>
      <c r="J28" s="24" t="str">
        <f>IF(Q28=1,Taal03!$B$185,"")</f>
        <v/>
      </c>
      <c r="K28" s="25" t="str">
        <f>IF(Q28=1,"6 :","")</f>
        <v/>
      </c>
      <c r="L28" s="26" t="str">
        <f t="shared" si="1"/>
        <v/>
      </c>
      <c r="M28" s="382"/>
      <c r="N28" s="61"/>
      <c r="O28" s="445"/>
      <c r="Q28" s="38" t="str">
        <f t="shared" si="2"/>
        <v/>
      </c>
      <c r="R28" s="51" t="s">
        <v>439</v>
      </c>
    </row>
    <row r="29" spans="1:18" ht="15" hidden="1" customHeight="1" x14ac:dyDescent="0.25">
      <c r="A29" s="94" t="str">
        <f t="shared" si="0"/>
        <v>H</v>
      </c>
      <c r="B29" s="17"/>
      <c r="C29" s="1049"/>
      <c r="D29" s="382"/>
      <c r="E29" s="382"/>
      <c r="F29" s="382"/>
      <c r="G29" s="382"/>
      <c r="H29" s="382"/>
      <c r="I29" s="382"/>
      <c r="J29" s="24" t="str">
        <f>IF(Q29=1,Taal03!$B$185,"")</f>
        <v/>
      </c>
      <c r="K29" s="25" t="str">
        <f>IF(Q29=1,"7 :","")</f>
        <v/>
      </c>
      <c r="L29" s="26" t="str">
        <f t="shared" si="1"/>
        <v/>
      </c>
      <c r="M29" s="382"/>
      <c r="N29" s="61"/>
      <c r="O29" s="445"/>
      <c r="Q29" s="38" t="str">
        <f t="shared" si="2"/>
        <v/>
      </c>
      <c r="R29" s="51" t="s">
        <v>439</v>
      </c>
    </row>
    <row r="30" spans="1:18" ht="15" hidden="1" customHeight="1" x14ac:dyDescent="0.25">
      <c r="A30" s="94" t="str">
        <f t="shared" si="0"/>
        <v>H</v>
      </c>
      <c r="B30" s="17"/>
      <c r="C30" s="1049"/>
      <c r="D30" s="382"/>
      <c r="E30" s="382"/>
      <c r="F30" s="382"/>
      <c r="G30" s="382"/>
      <c r="H30" s="382"/>
      <c r="I30" s="382"/>
      <c r="J30" s="24" t="str">
        <f>IF(Q30=1,Taal03!$B$185,"")</f>
        <v/>
      </c>
      <c r="K30" s="25" t="str">
        <f>IF(Q30=1,"8 :","")</f>
        <v/>
      </c>
      <c r="L30" s="26" t="str">
        <f t="shared" si="1"/>
        <v/>
      </c>
      <c r="M30" s="382"/>
      <c r="N30" s="61"/>
      <c r="O30" s="445"/>
      <c r="Q30" s="38" t="str">
        <f t="shared" si="2"/>
        <v/>
      </c>
      <c r="R30" s="51" t="s">
        <v>439</v>
      </c>
    </row>
    <row r="31" spans="1:18" ht="15" hidden="1" customHeight="1" x14ac:dyDescent="0.25">
      <c r="A31" s="94" t="str">
        <f t="shared" si="0"/>
        <v>H</v>
      </c>
      <c r="B31" s="17"/>
      <c r="C31" s="1049"/>
      <c r="D31" s="382"/>
      <c r="E31" s="382"/>
      <c r="F31" s="382"/>
      <c r="G31" s="382"/>
      <c r="H31" s="382"/>
      <c r="I31" s="382"/>
      <c r="J31" s="24" t="str">
        <f>IF(Q31=1,Taal03!$B$185,"")</f>
        <v/>
      </c>
      <c r="K31" s="25" t="str">
        <f>IF(Q31=1,"9 :","")</f>
        <v/>
      </c>
      <c r="L31" s="26" t="str">
        <f t="shared" si="1"/>
        <v/>
      </c>
      <c r="M31" s="382"/>
      <c r="N31" s="61"/>
      <c r="O31" s="445"/>
      <c r="Q31" s="38" t="str">
        <f t="shared" si="2"/>
        <v/>
      </c>
      <c r="R31" s="51" t="s">
        <v>439</v>
      </c>
    </row>
    <row r="32" spans="1:18" ht="15" hidden="1" customHeight="1" x14ac:dyDescent="0.25">
      <c r="A32" s="94" t="str">
        <f t="shared" si="0"/>
        <v>H</v>
      </c>
      <c r="B32" s="17"/>
      <c r="C32" s="1049"/>
      <c r="D32" s="382"/>
      <c r="E32" s="382"/>
      <c r="F32" s="382"/>
      <c r="G32" s="382"/>
      <c r="H32" s="382"/>
      <c r="I32" s="382"/>
      <c r="J32" s="24" t="str">
        <f>IF(Q32=1,Taal03!$B$185,"")</f>
        <v/>
      </c>
      <c r="K32" s="25" t="str">
        <f>IF(Q32=1,"10 :","")</f>
        <v/>
      </c>
      <c r="L32" s="26" t="str">
        <f t="shared" si="1"/>
        <v/>
      </c>
      <c r="M32" s="382"/>
      <c r="N32" s="61"/>
      <c r="O32" s="445"/>
      <c r="Q32" s="38" t="str">
        <f t="shared" si="2"/>
        <v/>
      </c>
      <c r="R32" s="51" t="s">
        <v>439</v>
      </c>
    </row>
    <row r="33" spans="1:18" ht="15" customHeight="1" x14ac:dyDescent="0.25">
      <c r="A33" s="94" t="str">
        <f>IF($Q$5=0,"",IF(Q33="","H",""))</f>
        <v/>
      </c>
      <c r="B33" s="17"/>
      <c r="C33" s="1049"/>
      <c r="D33" s="382"/>
      <c r="E33" s="382"/>
      <c r="F33" s="382"/>
      <c r="G33" s="382"/>
      <c r="H33" s="382"/>
      <c r="I33" s="382"/>
      <c r="J33" s="382"/>
      <c r="K33" s="382"/>
      <c r="L33" s="382"/>
      <c r="M33" s="382"/>
      <c r="N33" s="61"/>
      <c r="O33" s="445"/>
      <c r="Q33" s="398" t="str">
        <f>IF(COUNTBLANK(Q23:Q32)=10,"","-")</f>
        <v>-</v>
      </c>
      <c r="R33" s="396"/>
    </row>
    <row r="34" spans="1:18" ht="15" customHeight="1" x14ac:dyDescent="0.25">
      <c r="A34" s="94" t="str">
        <f t="shared" si="0"/>
        <v/>
      </c>
      <c r="B34" s="17"/>
      <c r="C34" s="1049"/>
      <c r="D34" s="392" t="str">
        <f ca="1">IF(Q7=1,IF(Q34="X",Taal03!$B$187,IF(TYPE(Q34)=1,SUBSTITUTE(SUBSTITUTE(IF(Q34=1,Taal03!$B$188,IF(Q34=2,Taal03!$B$189,Taal03!$B$190)),"###",SUM(Q23:Q32)+1),"$$$",SUM(Q23:Q32)+Q34),"")),"")</f>
        <v>Tevens is er voor de nr. 4 een troostprijs beschikbaar als troost voor het net naast de prijzen grijpen.</v>
      </c>
      <c r="E34" s="392"/>
      <c r="F34" s="382"/>
      <c r="G34" s="382"/>
      <c r="H34" s="382"/>
      <c r="I34" s="382"/>
      <c r="J34" s="382"/>
      <c r="K34" s="382"/>
      <c r="L34" s="382"/>
      <c r="M34" s="382"/>
      <c r="N34" s="61"/>
      <c r="O34" s="445"/>
      <c r="Q34" s="38">
        <f>IF($N$91=1,H96,"")</f>
        <v>1</v>
      </c>
      <c r="R34" s="51" t="s">
        <v>440</v>
      </c>
    </row>
    <row r="35" spans="1:18" ht="15" customHeight="1" x14ac:dyDescent="0.25">
      <c r="A35" s="94" t="str">
        <f t="shared" si="0"/>
        <v/>
      </c>
      <c r="B35" s="17"/>
      <c r="C35" s="1049"/>
      <c r="D35" s="382"/>
      <c r="E35" s="382"/>
      <c r="F35" s="382"/>
      <c r="G35" s="382"/>
      <c r="H35" s="382"/>
      <c r="I35" s="382"/>
      <c r="J35" s="382"/>
      <c r="K35" s="382"/>
      <c r="L35" s="382"/>
      <c r="M35" s="382"/>
      <c r="N35" s="61"/>
      <c r="O35" s="445"/>
      <c r="Q35" s="398" t="str">
        <f>IF(Q34="","","-")</f>
        <v>-</v>
      </c>
      <c r="R35" s="396"/>
    </row>
    <row r="36" spans="1:18" ht="15" hidden="1" customHeight="1" x14ac:dyDescent="0.25">
      <c r="A36" s="94" t="str">
        <f t="shared" si="0"/>
        <v>H</v>
      </c>
      <c r="B36" s="17"/>
      <c r="C36" s="1049"/>
      <c r="D36" s="392" t="str">
        <f>IF(Q7=1,IF(Q36="X",Taal03!B191,IF(TYPE(Q36)=1,IF(Q36=1,Taal03!$B$192,SUBSTITUTE(Taal03!$B$193,"###",Q36)),"")),"")</f>
        <v/>
      </c>
      <c r="E36" s="382"/>
      <c r="F36" s="382"/>
      <c r="G36" s="382"/>
      <c r="H36" s="382"/>
      <c r="I36" s="382"/>
      <c r="J36" s="382"/>
      <c r="K36" s="382"/>
      <c r="L36" s="382"/>
      <c r="M36" s="382"/>
      <c r="N36" s="61"/>
      <c r="O36" s="445"/>
      <c r="Q36" s="38" t="str">
        <f>IF($N$91=1,H97,"")</f>
        <v/>
      </c>
      <c r="R36" s="51" t="s">
        <v>441</v>
      </c>
    </row>
    <row r="37" spans="1:18" ht="15" hidden="1" customHeight="1" x14ac:dyDescent="0.25">
      <c r="A37" s="94" t="str">
        <f t="shared" si="0"/>
        <v>H</v>
      </c>
      <c r="B37" s="17"/>
      <c r="C37" s="1049"/>
      <c r="D37" s="382"/>
      <c r="E37" s="382"/>
      <c r="F37" s="382"/>
      <c r="G37" s="382"/>
      <c r="H37" s="382"/>
      <c r="I37" s="382"/>
      <c r="J37" s="382"/>
      <c r="K37" s="382"/>
      <c r="L37" s="382"/>
      <c r="M37" s="382"/>
      <c r="N37" s="61"/>
      <c r="O37" s="445"/>
      <c r="Q37" s="398" t="str">
        <f>IF(Q36="","","-")</f>
        <v/>
      </c>
      <c r="R37" s="396"/>
    </row>
    <row r="38" spans="1:18" ht="15" customHeight="1" x14ac:dyDescent="0.25">
      <c r="A38" s="94" t="str">
        <f t="shared" si="0"/>
        <v/>
      </c>
      <c r="B38" s="17"/>
      <c r="C38" s="1049"/>
      <c r="D38" s="610" t="str">
        <f ca="1">IF(E38="","","¹:")</f>
        <v>¹:</v>
      </c>
      <c r="E38" s="611" t="str">
        <f ca="1">IF(AND(Q7=1,Q9="JA"),Taal03!$B$194,"")</f>
        <v>Wanneer een niet betalende deelnemer in aanmerkingen komt voor de prijzenpot zal de prijs worden</v>
      </c>
      <c r="F38" s="382"/>
      <c r="G38" s="382"/>
      <c r="H38" s="382"/>
      <c r="I38" s="382"/>
      <c r="J38" s="382"/>
      <c r="K38" s="382"/>
      <c r="L38" s="382"/>
      <c r="M38" s="382"/>
      <c r="N38" s="61"/>
      <c r="O38" s="445"/>
      <c r="Q38" s="38" t="str">
        <f>IF(Q9="JA","JA","")</f>
        <v>JA</v>
      </c>
      <c r="R38" s="51" t="s">
        <v>855</v>
      </c>
    </row>
    <row r="39" spans="1:18" ht="15" customHeight="1" x14ac:dyDescent="0.25">
      <c r="A39" s="94" t="str">
        <f t="shared" si="0"/>
        <v/>
      </c>
      <c r="B39" s="17"/>
      <c r="C39" s="1049"/>
      <c r="D39" s="382"/>
      <c r="E39" s="611" t="str">
        <f ca="1">IF(AND(Q7=1,Q9="JA"),Taal03!$B$195,"")</f>
        <v>doorgeschoven naar de eerst volgende betalende deelnemer op de ranglijst.</v>
      </c>
      <c r="F39" s="382"/>
      <c r="G39" s="382"/>
      <c r="H39" s="382"/>
      <c r="I39" s="382"/>
      <c r="J39" s="382"/>
      <c r="K39" s="382"/>
      <c r="L39" s="382"/>
      <c r="M39" s="382"/>
      <c r="N39" s="61"/>
      <c r="O39" s="445"/>
      <c r="Q39" s="398" t="str">
        <f>IF(Q38="","","-")</f>
        <v>-</v>
      </c>
      <c r="R39" s="396"/>
    </row>
    <row r="40" spans="1:18" ht="15" customHeight="1" x14ac:dyDescent="0.25">
      <c r="B40" s="17"/>
      <c r="C40" s="1049"/>
      <c r="D40" s="382"/>
      <c r="E40" s="382"/>
      <c r="F40" s="382"/>
      <c r="G40" s="382"/>
      <c r="H40" s="382"/>
      <c r="I40" s="382"/>
      <c r="J40" s="382"/>
      <c r="K40" s="382"/>
      <c r="L40" s="382"/>
      <c r="M40" s="382"/>
      <c r="N40" s="61"/>
      <c r="O40" s="445"/>
      <c r="Q40" s="1220" t="s">
        <v>859</v>
      </c>
      <c r="R40" s="1220"/>
    </row>
    <row r="41" spans="1:18" ht="15" customHeight="1" x14ac:dyDescent="0.25">
      <c r="B41" s="17"/>
      <c r="C41" s="1049"/>
      <c r="D41" s="382"/>
      <c r="E41" s="382"/>
      <c r="F41" s="382"/>
      <c r="G41" s="382"/>
      <c r="H41" s="382"/>
      <c r="I41" s="382"/>
      <c r="J41" s="382"/>
      <c r="K41" s="382"/>
      <c r="L41" s="382"/>
      <c r="M41" s="382"/>
      <c r="N41" s="61"/>
      <c r="O41" s="445"/>
      <c r="Q41" s="1220"/>
      <c r="R41" s="1220"/>
    </row>
    <row r="42" spans="1:18" ht="15" customHeight="1" x14ac:dyDescent="0.25">
      <c r="B42" s="17"/>
      <c r="C42" s="1049"/>
      <c r="D42" s="382"/>
      <c r="E42" s="382"/>
      <c r="F42" s="382"/>
      <c r="G42" s="382"/>
      <c r="H42" s="382"/>
      <c r="I42" s="382"/>
      <c r="J42" s="382"/>
      <c r="K42" s="382"/>
      <c r="L42" s="382"/>
      <c r="M42" s="382"/>
      <c r="N42" s="61"/>
      <c r="O42" s="445"/>
      <c r="Q42" s="1220"/>
      <c r="R42" s="1220"/>
    </row>
    <row r="43" spans="1:18" ht="15" customHeight="1" x14ac:dyDescent="0.25">
      <c r="B43" s="17"/>
      <c r="C43" s="1049"/>
      <c r="D43" s="382"/>
      <c r="E43" s="382"/>
      <c r="F43" s="382"/>
      <c r="G43" s="382"/>
      <c r="H43" s="382"/>
      <c r="I43" s="382"/>
      <c r="J43" s="382"/>
      <c r="K43" s="382"/>
      <c r="L43" s="382"/>
      <c r="M43" s="382"/>
      <c r="N43" s="61"/>
      <c r="O43" s="445"/>
      <c r="Q43" s="1220"/>
      <c r="R43" s="1220"/>
    </row>
    <row r="44" spans="1:18" ht="15" customHeight="1" x14ac:dyDescent="0.25">
      <c r="B44" s="17"/>
      <c r="C44" s="1049"/>
      <c r="D44" s="382"/>
      <c r="E44" s="382"/>
      <c r="F44" s="382"/>
      <c r="G44" s="382"/>
      <c r="H44" s="382"/>
      <c r="I44" s="382"/>
      <c r="J44" s="382"/>
      <c r="K44" s="382"/>
      <c r="L44" s="382"/>
      <c r="M44" s="382"/>
      <c r="N44" s="61"/>
      <c r="O44" s="445"/>
      <c r="Q44" s="1220"/>
      <c r="R44" s="1220"/>
    </row>
    <row r="45" spans="1:18" ht="15" customHeight="1" x14ac:dyDescent="0.25">
      <c r="B45" s="17"/>
      <c r="C45" s="1049"/>
      <c r="D45" s="382"/>
      <c r="E45" s="382"/>
      <c r="F45" s="382"/>
      <c r="G45" s="382"/>
      <c r="H45" s="382"/>
      <c r="I45" s="382"/>
      <c r="J45" s="382"/>
      <c r="K45" s="382"/>
      <c r="L45" s="382"/>
      <c r="M45" s="382"/>
      <c r="N45" s="61"/>
      <c r="O45" s="445"/>
      <c r="Q45" s="5"/>
      <c r="R45" s="5"/>
    </row>
    <row r="46" spans="1:18" ht="15" customHeight="1" x14ac:dyDescent="0.25">
      <c r="B46" s="17"/>
      <c r="C46" s="1049"/>
      <c r="D46" s="382"/>
      <c r="E46" s="382"/>
      <c r="F46" s="382"/>
      <c r="G46" s="382"/>
      <c r="H46" s="382"/>
      <c r="I46" s="382"/>
      <c r="J46" s="382"/>
      <c r="K46" s="382"/>
      <c r="L46" s="382"/>
      <c r="M46" s="382"/>
      <c r="N46" s="61"/>
      <c r="O46" s="445"/>
      <c r="Q46" s="5"/>
      <c r="R46" s="5"/>
    </row>
    <row r="47" spans="1:18" ht="15" customHeight="1" x14ac:dyDescent="0.25">
      <c r="B47" s="17"/>
      <c r="C47" s="1049"/>
      <c r="D47" s="382"/>
      <c r="E47" s="382"/>
      <c r="F47" s="382"/>
      <c r="G47" s="382"/>
      <c r="H47" s="382"/>
      <c r="I47" s="382"/>
      <c r="J47" s="382"/>
      <c r="K47" s="382"/>
      <c r="L47" s="382"/>
      <c r="M47" s="382"/>
      <c r="N47" s="61"/>
      <c r="O47" s="445"/>
      <c r="Q47" s="5"/>
      <c r="R47" s="5"/>
    </row>
    <row r="48" spans="1:18" ht="15" customHeight="1" x14ac:dyDescent="0.25">
      <c r="B48" s="17"/>
      <c r="C48" s="1049"/>
      <c r="D48" s="382"/>
      <c r="E48" s="382"/>
      <c r="F48" s="382"/>
      <c r="G48" s="382"/>
      <c r="H48" s="382"/>
      <c r="I48" s="382"/>
      <c r="J48" s="382"/>
      <c r="K48" s="382"/>
      <c r="L48" s="382"/>
      <c r="M48" s="382"/>
      <c r="N48" s="61"/>
      <c r="O48" s="445"/>
      <c r="Q48" s="5"/>
      <c r="R48" s="5"/>
    </row>
    <row r="49" spans="1:18" ht="15" customHeight="1" x14ac:dyDescent="0.25">
      <c r="B49" s="17"/>
      <c r="C49" s="1049"/>
      <c r="D49" s="382"/>
      <c r="E49" s="382"/>
      <c r="F49" s="382"/>
      <c r="G49" s="382"/>
      <c r="H49" s="382"/>
      <c r="I49" s="382"/>
      <c r="J49" s="382"/>
      <c r="K49" s="382"/>
      <c r="L49" s="382"/>
      <c r="M49" s="382"/>
      <c r="N49" s="61"/>
      <c r="O49" s="445"/>
      <c r="Q49" s="5"/>
      <c r="R49" s="5"/>
    </row>
    <row r="50" spans="1:18" ht="15" customHeight="1" x14ac:dyDescent="0.25">
      <c r="B50" s="17"/>
      <c r="C50" s="1049"/>
      <c r="D50" s="382"/>
      <c r="E50" s="382"/>
      <c r="F50" s="382"/>
      <c r="G50" s="382"/>
      <c r="H50" s="382"/>
      <c r="I50" s="382"/>
      <c r="J50" s="382"/>
      <c r="K50" s="382"/>
      <c r="L50" s="382"/>
      <c r="M50" s="382"/>
      <c r="N50" s="61"/>
      <c r="O50" s="445"/>
      <c r="Q50" s="5"/>
      <c r="R50" s="5"/>
    </row>
    <row r="51" spans="1:18" ht="15" customHeight="1" x14ac:dyDescent="0.25">
      <c r="B51" s="17"/>
      <c r="C51" s="1049"/>
      <c r="D51" s="382"/>
      <c r="E51" s="382"/>
      <c r="F51" s="382"/>
      <c r="G51" s="382"/>
      <c r="H51" s="382"/>
      <c r="I51" s="382"/>
      <c r="J51" s="382"/>
      <c r="K51" s="382"/>
      <c r="L51" s="382"/>
      <c r="M51" s="382"/>
      <c r="N51" s="61"/>
      <c r="O51" s="445"/>
      <c r="Q51" s="5"/>
      <c r="R51" s="5"/>
    </row>
    <row r="52" spans="1:18" ht="15" customHeight="1" x14ac:dyDescent="0.25">
      <c r="B52" s="17"/>
      <c r="C52" s="1049"/>
      <c r="D52" s="382"/>
      <c r="E52" s="382"/>
      <c r="F52" s="382"/>
      <c r="G52" s="382"/>
      <c r="H52" s="382"/>
      <c r="I52" s="382"/>
      <c r="J52" s="382"/>
      <c r="K52" s="382"/>
      <c r="L52" s="382"/>
      <c r="M52" s="382"/>
      <c r="N52" s="61"/>
      <c r="O52" s="445"/>
      <c r="Q52" s="5"/>
      <c r="R52" s="5"/>
    </row>
    <row r="53" spans="1:18" ht="15" customHeight="1" x14ac:dyDescent="0.25">
      <c r="B53" s="17"/>
      <c r="C53" s="1049"/>
      <c r="D53" s="382"/>
      <c r="E53" s="382"/>
      <c r="F53" s="382"/>
      <c r="G53" s="382"/>
      <c r="H53" s="382"/>
      <c r="I53" s="382"/>
      <c r="J53" s="382"/>
      <c r="K53" s="382"/>
      <c r="L53" s="382"/>
      <c r="M53" s="382"/>
      <c r="N53" s="61"/>
      <c r="O53" s="445"/>
      <c r="Q53" s="5"/>
      <c r="R53" s="5"/>
    </row>
    <row r="54" spans="1:18" ht="15" customHeight="1" x14ac:dyDescent="0.25">
      <c r="B54" s="17"/>
      <c r="C54" s="1049"/>
      <c r="D54" s="382"/>
      <c r="E54" s="382"/>
      <c r="F54" s="382"/>
      <c r="G54" s="382"/>
      <c r="H54" s="382"/>
      <c r="I54" s="382"/>
      <c r="J54" s="382"/>
      <c r="K54" s="382"/>
      <c r="L54" s="382"/>
      <c r="M54" s="382"/>
      <c r="N54" s="61"/>
      <c r="O54" s="445"/>
      <c r="Q54" s="5"/>
      <c r="R54" s="5"/>
    </row>
    <row r="55" spans="1:18" ht="15" customHeight="1" x14ac:dyDescent="0.25">
      <c r="B55" s="17"/>
      <c r="C55" s="1049"/>
      <c r="D55" s="382"/>
      <c r="E55" s="382"/>
      <c r="F55" s="382"/>
      <c r="G55" s="382"/>
      <c r="H55" s="382"/>
      <c r="I55" s="382"/>
      <c r="J55" s="382"/>
      <c r="K55" s="382"/>
      <c r="L55" s="382"/>
      <c r="M55" s="382"/>
      <c r="N55" s="61"/>
      <c r="O55" s="445"/>
      <c r="Q55" s="5"/>
      <c r="R55" s="5"/>
    </row>
    <row r="56" spans="1:18" ht="15" customHeight="1" x14ac:dyDescent="0.25">
      <c r="B56" s="17"/>
      <c r="C56" s="1049"/>
      <c r="D56" s="382"/>
      <c r="E56" s="382"/>
      <c r="F56" s="382"/>
      <c r="G56" s="382"/>
      <c r="H56" s="382"/>
      <c r="I56" s="382"/>
      <c r="J56" s="382"/>
      <c r="K56" s="382"/>
      <c r="L56" s="382"/>
      <c r="M56" s="382"/>
      <c r="N56" s="61"/>
      <c r="O56" s="445"/>
      <c r="Q56" s="614" t="s">
        <v>858</v>
      </c>
      <c r="R56" s="5"/>
    </row>
    <row r="57" spans="1:18" ht="15" hidden="1" customHeight="1" x14ac:dyDescent="0.25">
      <c r="A57" s="94" t="str">
        <f t="shared" ref="A57:A83" si="3">IF($Q$5=0,"",IF(Q57="H","H",""))</f>
        <v>H</v>
      </c>
      <c r="B57" s="17"/>
      <c r="C57" s="1049"/>
      <c r="D57" s="382"/>
      <c r="E57" s="382"/>
      <c r="F57" s="382"/>
      <c r="G57" s="382"/>
      <c r="H57" s="382"/>
      <c r="I57" s="382"/>
      <c r="J57" s="382"/>
      <c r="K57" s="382"/>
      <c r="L57" s="382"/>
      <c r="M57" s="382"/>
      <c r="N57" s="61"/>
      <c r="O57" s="445"/>
      <c r="Q57" s="621" t="str">
        <f t="shared" ref="Q57" si="4">IF(A10="H","-","H")</f>
        <v>H</v>
      </c>
      <c r="R57" s="400" t="s">
        <v>857</v>
      </c>
    </row>
    <row r="58" spans="1:18" ht="15" hidden="1" customHeight="1" x14ac:dyDescent="0.25">
      <c r="A58" s="94" t="str">
        <f t="shared" si="3"/>
        <v>H</v>
      </c>
      <c r="B58" s="17"/>
      <c r="C58" s="1049"/>
      <c r="D58" s="382"/>
      <c r="E58" s="382"/>
      <c r="F58" s="382"/>
      <c r="G58" s="382"/>
      <c r="H58" s="382"/>
      <c r="I58" s="382"/>
      <c r="J58" s="382"/>
      <c r="K58" s="382"/>
      <c r="L58" s="382"/>
      <c r="M58" s="382"/>
      <c r="N58" s="61"/>
      <c r="O58" s="445"/>
      <c r="Q58" s="32" t="str">
        <f>IF(A11="H","-","H")</f>
        <v>H</v>
      </c>
      <c r="R58" s="399" t="s">
        <v>857</v>
      </c>
    </row>
    <row r="59" spans="1:18" ht="15" hidden="1" customHeight="1" x14ac:dyDescent="0.25">
      <c r="A59" s="94" t="str">
        <f t="shared" si="3"/>
        <v>H</v>
      </c>
      <c r="B59" s="17"/>
      <c r="C59" s="1049"/>
      <c r="D59" s="382"/>
      <c r="E59" s="382"/>
      <c r="F59" s="382"/>
      <c r="G59" s="382"/>
      <c r="H59" s="382"/>
      <c r="I59" s="382"/>
      <c r="J59" s="382"/>
      <c r="K59" s="382"/>
      <c r="L59" s="382"/>
      <c r="M59" s="382"/>
      <c r="N59" s="61"/>
      <c r="O59" s="445"/>
      <c r="Q59" s="398" t="str">
        <f>IF(A12="H","-","H")</f>
        <v>H</v>
      </c>
      <c r="R59" s="396" t="s">
        <v>575</v>
      </c>
    </row>
    <row r="60" spans="1:18" ht="15" hidden="1" customHeight="1" x14ac:dyDescent="0.25">
      <c r="A60" s="94" t="str">
        <f t="shared" si="3"/>
        <v>H</v>
      </c>
      <c r="B60" s="17"/>
      <c r="C60" s="1049"/>
      <c r="D60" s="392"/>
      <c r="E60" s="382"/>
      <c r="F60" s="382"/>
      <c r="G60" s="382"/>
      <c r="H60" s="382"/>
      <c r="I60" s="382"/>
      <c r="J60" s="382"/>
      <c r="K60" s="382"/>
      <c r="L60" s="382"/>
      <c r="M60" s="382"/>
      <c r="N60" s="61"/>
      <c r="O60" s="445"/>
      <c r="Q60" s="621" t="str">
        <f t="shared" ref="Q60:Q63" si="5">IF(A13="H","-","H")</f>
        <v>H</v>
      </c>
      <c r="R60" s="400" t="s">
        <v>856</v>
      </c>
    </row>
    <row r="61" spans="1:18" ht="15" customHeight="1" x14ac:dyDescent="0.25">
      <c r="A61" s="94" t="str">
        <f t="shared" si="3"/>
        <v/>
      </c>
      <c r="B61" s="17"/>
      <c r="C61" s="1049"/>
      <c r="D61" s="392"/>
      <c r="E61" s="382"/>
      <c r="F61" s="382"/>
      <c r="G61" s="382"/>
      <c r="H61" s="382"/>
      <c r="I61" s="382"/>
      <c r="J61" s="382"/>
      <c r="K61" s="382"/>
      <c r="L61" s="382"/>
      <c r="M61" s="382"/>
      <c r="N61" s="61"/>
      <c r="O61" s="445"/>
      <c r="Q61" s="32" t="str">
        <f t="shared" si="5"/>
        <v>-</v>
      </c>
      <c r="R61" s="399" t="s">
        <v>574</v>
      </c>
    </row>
    <row r="62" spans="1:18" ht="15" customHeight="1" x14ac:dyDescent="0.25">
      <c r="A62" s="94" t="str">
        <f t="shared" si="3"/>
        <v/>
      </c>
      <c r="B62" s="17"/>
      <c r="C62" s="1049"/>
      <c r="D62" s="392"/>
      <c r="E62" s="382"/>
      <c r="F62" s="382"/>
      <c r="G62" s="382"/>
      <c r="H62" s="382"/>
      <c r="I62" s="382"/>
      <c r="J62" s="382"/>
      <c r="K62" s="382"/>
      <c r="L62" s="382"/>
      <c r="M62" s="382"/>
      <c r="N62" s="61"/>
      <c r="O62" s="445"/>
      <c r="Q62" s="32" t="str">
        <f t="shared" si="5"/>
        <v>-</v>
      </c>
      <c r="R62" s="399" t="s">
        <v>430</v>
      </c>
    </row>
    <row r="63" spans="1:18" ht="15" customHeight="1" x14ac:dyDescent="0.25">
      <c r="A63" s="94" t="str">
        <f t="shared" si="3"/>
        <v/>
      </c>
      <c r="B63" s="17"/>
      <c r="C63" s="1049"/>
      <c r="D63" s="392"/>
      <c r="E63" s="382"/>
      <c r="F63" s="382"/>
      <c r="G63" s="382"/>
      <c r="H63" s="382"/>
      <c r="I63" s="382"/>
      <c r="J63" s="382"/>
      <c r="K63" s="382"/>
      <c r="L63" s="382"/>
      <c r="M63" s="382"/>
      <c r="N63" s="61"/>
      <c r="O63" s="445"/>
      <c r="Q63" s="32" t="str">
        <f t="shared" si="5"/>
        <v>-</v>
      </c>
      <c r="R63" s="399" t="s">
        <v>431</v>
      </c>
    </row>
    <row r="64" spans="1:18" ht="15" hidden="1" customHeight="1" x14ac:dyDescent="0.25">
      <c r="A64" s="94" t="str">
        <f t="shared" si="3"/>
        <v>H</v>
      </c>
      <c r="B64" s="17"/>
      <c r="C64" s="1049"/>
      <c r="D64" s="382"/>
      <c r="E64" s="382"/>
      <c r="F64" s="382"/>
      <c r="G64" s="382"/>
      <c r="H64" s="382"/>
      <c r="I64" s="382"/>
      <c r="J64" s="382"/>
      <c r="K64" s="382"/>
      <c r="L64" s="382"/>
      <c r="M64" s="382"/>
      <c r="N64" s="61"/>
      <c r="O64" s="445"/>
      <c r="Q64" s="398" t="str">
        <f>IF(A17="H","-","H")</f>
        <v>H</v>
      </c>
      <c r="R64" s="396" t="s">
        <v>575</v>
      </c>
    </row>
    <row r="65" spans="1:18" ht="15" customHeight="1" x14ac:dyDescent="0.25">
      <c r="A65" s="94" t="str">
        <f t="shared" si="3"/>
        <v/>
      </c>
      <c r="B65" s="17"/>
      <c r="C65" s="1049"/>
      <c r="D65" s="382"/>
      <c r="E65" s="382"/>
      <c r="F65" s="382"/>
      <c r="G65" s="382"/>
      <c r="H65" s="382"/>
      <c r="I65" s="382"/>
      <c r="J65" s="382"/>
      <c r="K65" s="382"/>
      <c r="L65" s="382"/>
      <c r="M65" s="382"/>
      <c r="N65" s="61"/>
      <c r="O65" s="445"/>
      <c r="Q65" s="32" t="str">
        <f>IF(A18="H","-","H")</f>
        <v>-</v>
      </c>
      <c r="R65" s="400" t="s">
        <v>432</v>
      </c>
    </row>
    <row r="66" spans="1:18" ht="15" customHeight="1" x14ac:dyDescent="0.25">
      <c r="A66" s="94" t="str">
        <f t="shared" si="3"/>
        <v/>
      </c>
      <c r="B66" s="17"/>
      <c r="C66" s="1049"/>
      <c r="D66" s="382"/>
      <c r="E66" s="382"/>
      <c r="F66" s="382"/>
      <c r="G66" s="382"/>
      <c r="H66" s="382"/>
      <c r="I66" s="382"/>
      <c r="J66" s="382"/>
      <c r="K66" s="382"/>
      <c r="L66" s="382"/>
      <c r="M66" s="382"/>
      <c r="N66" s="61"/>
      <c r="O66" s="445"/>
      <c r="Q66" s="398" t="str">
        <f>IF(A19="H","-","H")</f>
        <v>-</v>
      </c>
      <c r="R66" s="396" t="s">
        <v>575</v>
      </c>
    </row>
    <row r="67" spans="1:18" ht="15" hidden="1" customHeight="1" x14ac:dyDescent="0.25">
      <c r="A67" s="94" t="str">
        <f t="shared" si="3"/>
        <v>H</v>
      </c>
      <c r="B67" s="17"/>
      <c r="C67" s="1049"/>
      <c r="D67" s="382"/>
      <c r="E67" s="382"/>
      <c r="F67" s="382"/>
      <c r="G67" s="382"/>
      <c r="H67" s="382"/>
      <c r="I67" s="382"/>
      <c r="J67" s="382"/>
      <c r="K67" s="382"/>
      <c r="L67" s="382"/>
      <c r="M67" s="382"/>
      <c r="N67" s="61"/>
      <c r="O67" s="445"/>
      <c r="Q67" s="32" t="str">
        <f t="shared" ref="Q67:Q76" si="6">IF(A23="H","-","H")</f>
        <v>H</v>
      </c>
      <c r="R67" s="399" t="s">
        <v>576</v>
      </c>
    </row>
    <row r="68" spans="1:18" ht="15" hidden="1" customHeight="1" x14ac:dyDescent="0.25">
      <c r="A68" s="94" t="str">
        <f t="shared" si="3"/>
        <v>H</v>
      </c>
      <c r="B68" s="17"/>
      <c r="C68" s="1049"/>
      <c r="D68" s="382"/>
      <c r="E68" s="382"/>
      <c r="F68" s="382"/>
      <c r="G68" s="382"/>
      <c r="H68" s="382"/>
      <c r="I68" s="382"/>
      <c r="J68" s="382"/>
      <c r="K68" s="382"/>
      <c r="L68" s="382"/>
      <c r="M68" s="382"/>
      <c r="N68" s="61"/>
      <c r="O68" s="445"/>
      <c r="Q68" s="32" t="str">
        <f t="shared" si="6"/>
        <v>H</v>
      </c>
      <c r="R68" s="399" t="s">
        <v>577</v>
      </c>
    </row>
    <row r="69" spans="1:18" ht="15" hidden="1" customHeight="1" x14ac:dyDescent="0.25">
      <c r="A69" s="94" t="str">
        <f t="shared" si="3"/>
        <v>H</v>
      </c>
      <c r="B69" s="17"/>
      <c r="C69" s="1049"/>
      <c r="D69" s="382"/>
      <c r="E69" s="382"/>
      <c r="F69" s="382"/>
      <c r="G69" s="382"/>
      <c r="H69" s="382"/>
      <c r="I69" s="382"/>
      <c r="J69" s="382"/>
      <c r="K69" s="382"/>
      <c r="L69" s="382"/>
      <c r="M69" s="382"/>
      <c r="N69" s="61"/>
      <c r="O69" s="445"/>
      <c r="Q69" s="32" t="str">
        <f t="shared" si="6"/>
        <v>H</v>
      </c>
      <c r="R69" s="399" t="s">
        <v>578</v>
      </c>
    </row>
    <row r="70" spans="1:18" ht="15" customHeight="1" x14ac:dyDescent="0.25">
      <c r="A70" s="94" t="str">
        <f t="shared" si="3"/>
        <v/>
      </c>
      <c r="B70" s="17"/>
      <c r="C70" s="1049"/>
      <c r="D70" s="382"/>
      <c r="E70" s="382"/>
      <c r="F70" s="382"/>
      <c r="G70" s="382"/>
      <c r="H70" s="382"/>
      <c r="I70" s="382"/>
      <c r="J70" s="382"/>
      <c r="K70" s="382"/>
      <c r="L70" s="382"/>
      <c r="M70" s="382"/>
      <c r="N70" s="61"/>
      <c r="O70" s="445"/>
      <c r="Q70" s="32" t="str">
        <f t="shared" si="6"/>
        <v>-</v>
      </c>
      <c r="R70" s="399" t="s">
        <v>579</v>
      </c>
    </row>
    <row r="71" spans="1:18" ht="15" customHeight="1" x14ac:dyDescent="0.25">
      <c r="A71" s="94" t="str">
        <f t="shared" si="3"/>
        <v/>
      </c>
      <c r="B71" s="17"/>
      <c r="C71" s="1049"/>
      <c r="D71" s="382"/>
      <c r="E71" s="382"/>
      <c r="F71" s="382"/>
      <c r="G71" s="382"/>
      <c r="H71" s="382"/>
      <c r="I71" s="382"/>
      <c r="J71" s="382"/>
      <c r="K71" s="382"/>
      <c r="L71" s="382"/>
      <c r="M71" s="382"/>
      <c r="N71" s="61"/>
      <c r="O71" s="445"/>
      <c r="Q71" s="32" t="str">
        <f t="shared" si="6"/>
        <v>-</v>
      </c>
      <c r="R71" s="399" t="s">
        <v>580</v>
      </c>
    </row>
    <row r="72" spans="1:18" ht="15" customHeight="1" x14ac:dyDescent="0.25">
      <c r="A72" s="94" t="str">
        <f t="shared" si="3"/>
        <v/>
      </c>
      <c r="B72" s="17"/>
      <c r="C72" s="1049"/>
      <c r="D72" s="382"/>
      <c r="E72" s="382"/>
      <c r="F72" s="382"/>
      <c r="G72" s="382"/>
      <c r="H72" s="382"/>
      <c r="I72" s="382"/>
      <c r="J72" s="382"/>
      <c r="K72" s="382"/>
      <c r="L72" s="382"/>
      <c r="M72" s="382"/>
      <c r="N72" s="61"/>
      <c r="O72" s="445"/>
      <c r="Q72" s="32" t="str">
        <f t="shared" si="6"/>
        <v>-</v>
      </c>
      <c r="R72" s="399" t="s">
        <v>581</v>
      </c>
    </row>
    <row r="73" spans="1:18" ht="15" customHeight="1" x14ac:dyDescent="0.25">
      <c r="A73" s="94" t="str">
        <f t="shared" si="3"/>
        <v/>
      </c>
      <c r="B73" s="17"/>
      <c r="C73" s="1049"/>
      <c r="D73" s="382"/>
      <c r="E73" s="382"/>
      <c r="F73" s="382"/>
      <c r="G73" s="382"/>
      <c r="H73" s="382"/>
      <c r="I73" s="382"/>
      <c r="J73" s="382"/>
      <c r="K73" s="382"/>
      <c r="L73" s="382"/>
      <c r="M73" s="382"/>
      <c r="N73" s="61"/>
      <c r="O73" s="445"/>
      <c r="Q73" s="32" t="str">
        <f t="shared" si="6"/>
        <v>-</v>
      </c>
      <c r="R73" s="399" t="s">
        <v>582</v>
      </c>
    </row>
    <row r="74" spans="1:18" ht="15" customHeight="1" x14ac:dyDescent="0.25">
      <c r="A74" s="94" t="str">
        <f t="shared" si="3"/>
        <v/>
      </c>
      <c r="B74" s="17"/>
      <c r="C74" s="1049"/>
      <c r="D74" s="382"/>
      <c r="E74" s="382"/>
      <c r="F74" s="382"/>
      <c r="G74" s="382"/>
      <c r="H74" s="382"/>
      <c r="I74" s="382"/>
      <c r="J74" s="382"/>
      <c r="K74" s="382"/>
      <c r="L74" s="382"/>
      <c r="M74" s="382"/>
      <c r="N74" s="61"/>
      <c r="O74" s="445"/>
      <c r="Q74" s="32" t="str">
        <f t="shared" si="6"/>
        <v>-</v>
      </c>
      <c r="R74" s="399" t="s">
        <v>583</v>
      </c>
    </row>
    <row r="75" spans="1:18" ht="15" customHeight="1" x14ac:dyDescent="0.25">
      <c r="A75" s="94" t="str">
        <f t="shared" si="3"/>
        <v/>
      </c>
      <c r="B75" s="17"/>
      <c r="C75" s="1049"/>
      <c r="D75" s="382"/>
      <c r="E75" s="382"/>
      <c r="F75" s="382"/>
      <c r="G75" s="382"/>
      <c r="H75" s="382"/>
      <c r="I75" s="382"/>
      <c r="J75" s="382"/>
      <c r="K75" s="382"/>
      <c r="L75" s="382"/>
      <c r="M75" s="382"/>
      <c r="N75" s="61"/>
      <c r="O75" s="445"/>
      <c r="Q75" s="32" t="str">
        <f t="shared" si="6"/>
        <v>-</v>
      </c>
      <c r="R75" s="399" t="s">
        <v>584</v>
      </c>
    </row>
    <row r="76" spans="1:18" ht="15" customHeight="1" x14ac:dyDescent="0.25">
      <c r="A76" s="94" t="str">
        <f t="shared" si="3"/>
        <v/>
      </c>
      <c r="B76" s="17"/>
      <c r="C76" s="1049"/>
      <c r="D76" s="382"/>
      <c r="E76" s="382"/>
      <c r="F76" s="382"/>
      <c r="G76" s="382"/>
      <c r="H76" s="382"/>
      <c r="I76" s="382"/>
      <c r="J76" s="382"/>
      <c r="K76" s="382"/>
      <c r="L76" s="382"/>
      <c r="M76" s="382"/>
      <c r="N76" s="61"/>
      <c r="O76" s="445"/>
      <c r="Q76" s="32" t="str">
        <f t="shared" si="6"/>
        <v>-</v>
      </c>
      <c r="R76" s="399" t="s">
        <v>585</v>
      </c>
    </row>
    <row r="77" spans="1:18" ht="15" hidden="1" customHeight="1" x14ac:dyDescent="0.25">
      <c r="A77" s="94" t="str">
        <f t="shared" si="3"/>
        <v>H</v>
      </c>
      <c r="B77" s="17"/>
      <c r="C77" s="1049"/>
      <c r="D77" s="382"/>
      <c r="E77" s="382"/>
      <c r="F77" s="382"/>
      <c r="G77" s="382"/>
      <c r="H77" s="382"/>
      <c r="I77" s="382"/>
      <c r="J77" s="382"/>
      <c r="K77" s="382"/>
      <c r="L77" s="382"/>
      <c r="M77" s="382"/>
      <c r="N77" s="61"/>
      <c r="O77" s="445"/>
      <c r="Q77" s="398" t="str">
        <f t="shared" ref="Q77:Q83" si="7">IF(A33="H","-","H")</f>
        <v>H</v>
      </c>
      <c r="R77" s="396" t="s">
        <v>575</v>
      </c>
    </row>
    <row r="78" spans="1:18" ht="15" hidden="1" customHeight="1" x14ac:dyDescent="0.25">
      <c r="A78" s="94" t="str">
        <f t="shared" si="3"/>
        <v>H</v>
      </c>
      <c r="B78" s="17"/>
      <c r="C78" s="1049"/>
      <c r="D78" s="382"/>
      <c r="E78" s="382"/>
      <c r="F78" s="382"/>
      <c r="G78" s="382"/>
      <c r="H78" s="382"/>
      <c r="I78" s="382"/>
      <c r="J78" s="382"/>
      <c r="K78" s="382"/>
      <c r="L78" s="382"/>
      <c r="M78" s="382"/>
      <c r="N78" s="61"/>
      <c r="O78" s="445"/>
      <c r="Q78" s="32" t="str">
        <f t="shared" si="7"/>
        <v>H</v>
      </c>
      <c r="R78" s="399" t="s">
        <v>586</v>
      </c>
    </row>
    <row r="79" spans="1:18" ht="15" hidden="1" customHeight="1" x14ac:dyDescent="0.25">
      <c r="A79" s="94" t="str">
        <f t="shared" si="3"/>
        <v>H</v>
      </c>
      <c r="B79" s="17"/>
      <c r="C79" s="1049"/>
      <c r="D79" s="382"/>
      <c r="E79" s="382"/>
      <c r="F79" s="382"/>
      <c r="G79" s="382"/>
      <c r="H79" s="382"/>
      <c r="I79" s="382"/>
      <c r="J79" s="382"/>
      <c r="K79" s="382"/>
      <c r="L79" s="382"/>
      <c r="M79" s="382"/>
      <c r="N79" s="61"/>
      <c r="O79" s="445"/>
      <c r="Q79" s="398" t="str">
        <f t="shared" si="7"/>
        <v>H</v>
      </c>
      <c r="R79" s="396" t="s">
        <v>575</v>
      </c>
    </row>
    <row r="80" spans="1:18" ht="15" customHeight="1" x14ac:dyDescent="0.25">
      <c r="A80" s="94" t="str">
        <f t="shared" si="3"/>
        <v/>
      </c>
      <c r="B80" s="17"/>
      <c r="C80" s="1049"/>
      <c r="D80" s="382"/>
      <c r="E80" s="382"/>
      <c r="F80" s="382"/>
      <c r="G80" s="382"/>
      <c r="H80" s="382"/>
      <c r="I80" s="382"/>
      <c r="J80" s="382"/>
      <c r="K80" s="382"/>
      <c r="L80" s="382"/>
      <c r="M80" s="382"/>
      <c r="N80" s="61"/>
      <c r="O80" s="445"/>
      <c r="Q80" s="32" t="str">
        <f t="shared" si="7"/>
        <v>-</v>
      </c>
      <c r="R80" s="399" t="s">
        <v>587</v>
      </c>
    </row>
    <row r="81" spans="1:18" ht="15" customHeight="1" x14ac:dyDescent="0.25">
      <c r="A81" s="94" t="str">
        <f t="shared" si="3"/>
        <v/>
      </c>
      <c r="B81" s="17"/>
      <c r="C81" s="1049"/>
      <c r="D81" s="382"/>
      <c r="E81" s="382"/>
      <c r="F81" s="382"/>
      <c r="G81" s="382"/>
      <c r="H81" s="382"/>
      <c r="I81" s="382"/>
      <c r="J81" s="382"/>
      <c r="K81" s="382"/>
      <c r="L81" s="382"/>
      <c r="M81" s="382"/>
      <c r="N81" s="61"/>
      <c r="O81" s="445"/>
      <c r="Q81" s="398" t="str">
        <f t="shared" si="7"/>
        <v>-</v>
      </c>
      <c r="R81" s="396" t="s">
        <v>575</v>
      </c>
    </row>
    <row r="82" spans="1:18" ht="15" hidden="1" customHeight="1" x14ac:dyDescent="0.25">
      <c r="A82" s="94" t="str">
        <f t="shared" si="3"/>
        <v>H</v>
      </c>
      <c r="B82" s="17"/>
      <c r="C82" s="1049"/>
      <c r="D82" s="382"/>
      <c r="E82" s="382"/>
      <c r="F82" s="382"/>
      <c r="G82" s="382"/>
      <c r="H82" s="382"/>
      <c r="I82" s="382"/>
      <c r="J82" s="382"/>
      <c r="K82" s="382"/>
      <c r="L82" s="382"/>
      <c r="M82" s="382"/>
      <c r="N82" s="61"/>
      <c r="O82" s="445"/>
      <c r="Q82" s="32" t="str">
        <f t="shared" si="7"/>
        <v>H</v>
      </c>
      <c r="R82" s="399" t="s">
        <v>854</v>
      </c>
    </row>
    <row r="83" spans="1:18" hidden="1" x14ac:dyDescent="0.25">
      <c r="A83" s="94" t="str">
        <f t="shared" si="3"/>
        <v>H</v>
      </c>
      <c r="B83" s="17"/>
      <c r="C83" s="1049"/>
      <c r="D83" s="382"/>
      <c r="E83" s="365"/>
      <c r="F83" s="365"/>
      <c r="G83" s="365"/>
      <c r="H83" s="382"/>
      <c r="I83" s="382"/>
      <c r="J83" s="382"/>
      <c r="K83" s="382"/>
      <c r="L83" s="382"/>
      <c r="M83" s="382"/>
      <c r="N83" s="61"/>
      <c r="O83" s="445"/>
      <c r="Q83" s="398" t="str">
        <f t="shared" si="7"/>
        <v>H</v>
      </c>
      <c r="R83" s="396" t="s">
        <v>854</v>
      </c>
    </row>
    <row r="84" spans="1:18" ht="75" customHeight="1" x14ac:dyDescent="0.25">
      <c r="B84" s="17"/>
      <c r="C84" s="1050"/>
      <c r="D84" s="108"/>
      <c r="E84" s="108"/>
      <c r="F84" s="108"/>
      <c r="G84" s="108"/>
      <c r="H84" s="108"/>
      <c r="I84" s="108"/>
      <c r="J84" s="108"/>
      <c r="K84" s="108"/>
      <c r="L84" s="108"/>
      <c r="M84" s="108"/>
      <c r="N84" s="1052"/>
      <c r="O84" s="445"/>
      <c r="Q84" s="5"/>
      <c r="R84" s="5"/>
    </row>
    <row r="85" spans="1:18" ht="15" customHeight="1" x14ac:dyDescent="0.25">
      <c r="B85" s="17"/>
      <c r="C85" s="17"/>
      <c r="D85" s="17"/>
      <c r="E85" s="17"/>
      <c r="F85" s="17"/>
      <c r="G85" s="17"/>
      <c r="H85" s="17"/>
      <c r="I85" s="17"/>
      <c r="J85" s="17"/>
      <c r="K85" s="17"/>
      <c r="L85" s="17"/>
      <c r="M85" s="17"/>
      <c r="N85" s="17"/>
      <c r="O85" s="445"/>
      <c r="Q85" s="5"/>
      <c r="R85" s="5"/>
    </row>
    <row r="86" spans="1:18" ht="15" customHeight="1" x14ac:dyDescent="0.25">
      <c r="B86" s="17"/>
      <c r="C86" s="1086"/>
      <c r="D86" s="1076" t="str">
        <f>Reglement!D71</f>
        <v>www.excel-pool.nl</v>
      </c>
      <c r="E86" s="1087"/>
      <c r="F86" s="1087"/>
      <c r="G86" s="1087"/>
      <c r="H86" s="1087"/>
      <c r="I86" s="1087"/>
      <c r="J86" s="1087"/>
      <c r="K86" s="1087"/>
      <c r="L86" s="1087"/>
      <c r="M86" s="1078" t="str">
        <f>Reglement!M71</f>
        <v>©2024 Eric de Jong v24.00hd</v>
      </c>
      <c r="N86" s="1088"/>
      <c r="O86" s="445"/>
      <c r="Q86" s="5"/>
      <c r="R86" s="5"/>
    </row>
    <row r="87" spans="1:18" ht="15" customHeight="1" x14ac:dyDescent="0.25">
      <c r="B87" s="17"/>
      <c r="C87" s="17"/>
      <c r="D87" s="17"/>
      <c r="E87" s="17"/>
      <c r="F87" s="17"/>
      <c r="G87" s="17"/>
      <c r="H87" s="17"/>
      <c r="I87" s="17"/>
      <c r="J87" s="17"/>
      <c r="K87" s="17"/>
      <c r="L87" s="17"/>
      <c r="M87" s="17"/>
      <c r="N87" s="17"/>
      <c r="O87" s="445"/>
      <c r="Q87" s="5"/>
      <c r="R87" s="5"/>
    </row>
    <row r="91" spans="1:18" ht="26.25" hidden="1" customHeight="1" x14ac:dyDescent="0.4">
      <c r="B91" s="79"/>
      <c r="C91" s="100" t="s">
        <v>29</v>
      </c>
      <c r="D91" s="83"/>
      <c r="E91" s="83"/>
      <c r="F91" s="83"/>
      <c r="G91" s="83"/>
      <c r="H91" s="83"/>
      <c r="I91" s="83"/>
      <c r="J91" s="83"/>
      <c r="K91" s="83"/>
      <c r="L91" s="83"/>
      <c r="M91" s="101" t="s">
        <v>44</v>
      </c>
      <c r="N91" s="1196">
        <f>Reglement!N81</f>
        <v>1</v>
      </c>
      <c r="O91" s="1197"/>
      <c r="P91" s="134">
        <f>Reglement!Q81</f>
        <v>1</v>
      </c>
      <c r="Q91" s="133" t="s">
        <v>166</v>
      </c>
      <c r="R91" s="128"/>
    </row>
    <row r="92" spans="1:18" ht="15" hidden="1" customHeight="1" x14ac:dyDescent="0.25">
      <c r="B92" s="75"/>
      <c r="C92" s="1176" t="s">
        <v>30</v>
      </c>
      <c r="D92" s="1176"/>
      <c r="E92" s="1177"/>
      <c r="F92" s="1178" t="str">
        <f>Reglement!F82</f>
        <v>|hd|G140915|14#624|EK*#Polo-poule|Polo*#Bar|info@polobar.nl||AD¦P|#1|##|1000|5000|3000|2000||50|10|#0|10|#6|#6|#6|#4|##|##|X##|X##|X##|BA##|</v>
      </c>
      <c r="G92" s="1179"/>
      <c r="H92" s="1179"/>
      <c r="I92" s="1179"/>
      <c r="J92" s="1179"/>
      <c r="K92" s="1179"/>
      <c r="L92" s="1179"/>
      <c r="M92" s="1179"/>
      <c r="N92" s="1174">
        <f>Reglement!N82</f>
        <v>140</v>
      </c>
      <c r="O92" s="1175"/>
      <c r="P92" s="87">
        <f>Reglement!Q82</f>
        <v>1</v>
      </c>
      <c r="Q92" s="129" t="s">
        <v>145</v>
      </c>
      <c r="R92" s="130"/>
    </row>
    <row r="93" spans="1:18" hidden="1" x14ac:dyDescent="0.25">
      <c r="B93" s="75"/>
      <c r="C93" s="1176" t="s">
        <v>104</v>
      </c>
      <c r="D93" s="1176"/>
      <c r="E93" s="1177"/>
      <c r="F93" s="1178" t="str">
        <f>Reglement!F84</f>
        <v>|AD¦P|#1|##|1000|5000|3000|2000|</v>
      </c>
      <c r="G93" s="1179"/>
      <c r="H93" s="1179"/>
      <c r="I93" s="1179"/>
      <c r="J93" s="1179"/>
      <c r="K93" s="1179"/>
      <c r="L93" s="1179"/>
      <c r="M93" s="1179"/>
      <c r="N93" s="1174">
        <f>Reglement!N84</f>
        <v>32</v>
      </c>
      <c r="O93" s="1175"/>
      <c r="P93" s="87">
        <f>Reglement!Q83</f>
        <v>1</v>
      </c>
      <c r="Q93" s="129" t="s">
        <v>146</v>
      </c>
      <c r="R93" s="130"/>
    </row>
    <row r="94" spans="1:18" hidden="1" x14ac:dyDescent="0.25">
      <c r="B94" s="75"/>
      <c r="C94" s="72"/>
      <c r="D94" s="72"/>
      <c r="E94" s="72"/>
      <c r="F94" s="126"/>
      <c r="G94" s="127"/>
      <c r="H94" s="127"/>
      <c r="I94" s="126"/>
      <c r="J94" s="126"/>
      <c r="K94" s="126"/>
      <c r="L94" s="126"/>
      <c r="M94" s="126"/>
      <c r="N94" s="114"/>
      <c r="O94" s="656"/>
      <c r="P94" s="87">
        <f>Reglement!Q84</f>
        <v>1</v>
      </c>
      <c r="Q94" s="129" t="s">
        <v>147</v>
      </c>
      <c r="R94" s="130"/>
    </row>
    <row r="95" spans="1:18" hidden="1" x14ac:dyDescent="0.25">
      <c r="B95" s="102"/>
      <c r="C95" s="28" t="s">
        <v>153</v>
      </c>
      <c r="D95" s="3"/>
      <c r="E95" s="3"/>
      <c r="F95" s="3"/>
      <c r="G95" s="62" t="str">
        <f>Reglement!G103</f>
        <v>P</v>
      </c>
      <c r="H95" s="62" t="str">
        <f>Reglement!H103</f>
        <v>%</v>
      </c>
      <c r="I95" s="3" t="s">
        <v>32</v>
      </c>
      <c r="J95" s="3"/>
      <c r="K95" s="3"/>
      <c r="L95" s="3"/>
      <c r="M95" s="3"/>
      <c r="N95" s="3"/>
      <c r="O95" s="74"/>
      <c r="P95" s="87" t="str">
        <f>Reglement!Q85</f>
        <v>hd</v>
      </c>
      <c r="Q95" s="129" t="s">
        <v>148</v>
      </c>
      <c r="R95" s="130"/>
    </row>
    <row r="96" spans="1:18" hidden="1" x14ac:dyDescent="0.25">
      <c r="B96" s="102"/>
      <c r="C96" s="28"/>
      <c r="D96" s="3"/>
      <c r="E96" s="3"/>
      <c r="F96" s="3"/>
      <c r="G96" s="62" t="str">
        <f>Reglement!G104</f>
        <v>#1</v>
      </c>
      <c r="H96" s="62">
        <f>Reglement!H104</f>
        <v>1</v>
      </c>
      <c r="I96" s="3" t="s">
        <v>433</v>
      </c>
      <c r="J96" s="3"/>
      <c r="K96" s="3"/>
      <c r="L96" s="3"/>
      <c r="M96" s="118"/>
      <c r="N96" s="3"/>
      <c r="O96" s="74"/>
      <c r="P96" s="109" t="str">
        <f>Reglement!Q86</f>
        <v>hd</v>
      </c>
      <c r="Q96" s="131" t="s">
        <v>149</v>
      </c>
      <c r="R96" s="132"/>
    </row>
    <row r="97" spans="2:20" hidden="1" x14ac:dyDescent="0.25">
      <c r="B97" s="102"/>
      <c r="C97" s="1170" t="str">
        <f>Reglement!C98</f>
        <v>JA</v>
      </c>
      <c r="D97" s="1171"/>
      <c r="E97" s="612" t="s">
        <v>815</v>
      </c>
      <c r="F97" s="3"/>
      <c r="G97" s="62" t="str">
        <f>Reglement!G105</f>
        <v>##</v>
      </c>
      <c r="H97" s="62" t="str">
        <f>Reglement!H105</f>
        <v/>
      </c>
      <c r="I97" s="3" t="s">
        <v>94</v>
      </c>
      <c r="J97" s="3"/>
      <c r="K97" s="3"/>
      <c r="L97" s="3"/>
      <c r="M97" s="118"/>
      <c r="N97" s="3"/>
      <c r="O97" s="74"/>
      <c r="P97" s="88"/>
      <c r="Q97" s="56"/>
      <c r="R97" s="386"/>
    </row>
    <row r="98" spans="2:20" hidden="1" x14ac:dyDescent="0.25">
      <c r="B98" s="102"/>
      <c r="C98" s="28"/>
      <c r="D98" s="3"/>
      <c r="E98" s="612" t="s">
        <v>816</v>
      </c>
      <c r="F98" s="3"/>
      <c r="G98" s="62" t="str">
        <f>Reglement!G106</f>
        <v>1000</v>
      </c>
      <c r="H98" s="62">
        <f>Reglement!H106</f>
        <v>10</v>
      </c>
      <c r="I98" s="104" t="s">
        <v>33</v>
      </c>
      <c r="J98" s="3"/>
      <c r="K98" s="123">
        <f>LARGE(K99:K108,1)</f>
        <v>0</v>
      </c>
      <c r="L98" s="385" t="str">
        <f>"= aantal decimalen"</f>
        <v>= aantal decimalen</v>
      </c>
      <c r="M98" s="31" t="str">
        <f t="shared" ref="M98:M108" si="8">"€"&amp;" "&amp;H98&amp;IF(CODE(LEFT(RIGHT(H98,2),1))=44,"0",IF(CODE(LEFT(RIGHT(H98,3),1))=44,"",",00"))</f>
        <v>€ 10,00</v>
      </c>
      <c r="N98" s="3"/>
      <c r="O98" s="74"/>
      <c r="P98" s="660" t="s">
        <v>250</v>
      </c>
      <c r="Q98" s="15"/>
      <c r="R98" s="387"/>
    </row>
    <row r="99" spans="2:20" hidden="1" x14ac:dyDescent="0.25">
      <c r="B99" s="102"/>
      <c r="C99" s="3"/>
      <c r="D99" s="103"/>
      <c r="E99" s="103"/>
      <c r="F99" s="3"/>
      <c r="G99" s="62" t="str">
        <f>Reglement!G107</f>
        <v>5000</v>
      </c>
      <c r="H99" s="62">
        <f>Reglement!H107</f>
        <v>50</v>
      </c>
      <c r="I99" s="3" t="s">
        <v>34</v>
      </c>
      <c r="J99" s="3"/>
      <c r="K99" s="121">
        <f>IF(G99="",0,IF(RIGHT(G99,1)="0",IF(RIGHT(G99,2)="00",0,1),2))</f>
        <v>0</v>
      </c>
      <c r="L99" s="31" t="str">
        <f ca="1">H99&amp;IF($K$98=2,IF($K$98-K99=2,",00",IF($K$98-K99=1,"0","")),IF($K$98=1,IF($K$98-K99=1,",0",""),""))&amp;"% "&amp;Taal03!$B$186</f>
        <v>50% van de prijzenpot</v>
      </c>
      <c r="M99" s="31" t="str">
        <f t="shared" si="8"/>
        <v>€ 50,00</v>
      </c>
      <c r="N99" s="3"/>
      <c r="O99" s="74"/>
      <c r="P99" s="661" t="s">
        <v>235</v>
      </c>
      <c r="Q99" s="15"/>
      <c r="R99" s="387"/>
    </row>
    <row r="100" spans="2:20" hidden="1" x14ac:dyDescent="0.25">
      <c r="B100" s="102"/>
      <c r="C100" s="3"/>
      <c r="D100" s="103"/>
      <c r="E100" s="103"/>
      <c r="F100" s="3"/>
      <c r="G100" s="62" t="str">
        <f>Reglement!G108</f>
        <v>3000</v>
      </c>
      <c r="H100" s="62">
        <f>Reglement!H108</f>
        <v>30</v>
      </c>
      <c r="I100" s="3" t="s">
        <v>35</v>
      </c>
      <c r="J100" s="3"/>
      <c r="K100" s="121">
        <f t="shared" ref="K100:K108" si="9">IF(G100="",0,IF(RIGHT(G100,1)="0",IF(RIGHT(G100,2)="00",0,1),2))</f>
        <v>0</v>
      </c>
      <c r="L100" s="31" t="str">
        <f ca="1">H100&amp;IF($K$98=2,IF($K$98-K100=2,",00",IF($K$98-K100=1,"0","")),IF($K$98=1,IF($K$98-K100=1,",0",""),""))&amp;"% "&amp;Taal03!$B$186</f>
        <v>30% van de prijzenpot</v>
      </c>
      <c r="M100" s="31" t="str">
        <f t="shared" si="8"/>
        <v>€ 30,00</v>
      </c>
      <c r="N100" s="3"/>
      <c r="O100" s="74"/>
      <c r="P100" s="388"/>
      <c r="Q100" s="57"/>
      <c r="R100" s="389"/>
      <c r="T100" s="34"/>
    </row>
    <row r="101" spans="2:20" hidden="1" x14ac:dyDescent="0.25">
      <c r="B101" s="102"/>
      <c r="C101" s="3"/>
      <c r="D101" s="103"/>
      <c r="E101" s="103"/>
      <c r="F101" s="3"/>
      <c r="G101" s="62" t="str">
        <f>Reglement!G109</f>
        <v>2000</v>
      </c>
      <c r="H101" s="62">
        <f>Reglement!H109</f>
        <v>20</v>
      </c>
      <c r="I101" s="3" t="s">
        <v>36</v>
      </c>
      <c r="J101" s="3"/>
      <c r="K101" s="121">
        <f t="shared" si="9"/>
        <v>0</v>
      </c>
      <c r="L101" s="31" t="str">
        <f ca="1">H101&amp;IF($K$98=2,IF($K$98-K101=2,",00",IF($K$98-K101=1,"0","")),IF($K$98=1,IF($K$98-K101=1,",0",""),""))&amp;"% "&amp;Taal03!$B$186</f>
        <v>20% van de prijzenpot</v>
      </c>
      <c r="M101" s="31" t="str">
        <f t="shared" si="8"/>
        <v>€ 20,00</v>
      </c>
      <c r="N101" s="3"/>
      <c r="O101" s="74"/>
      <c r="P101" s="79"/>
      <c r="Q101" s="83"/>
      <c r="R101" s="390"/>
      <c r="T101" s="35"/>
    </row>
    <row r="102" spans="2:20" hidden="1" x14ac:dyDescent="0.25">
      <c r="B102" s="102"/>
      <c r="C102" s="3"/>
      <c r="D102" s="103"/>
      <c r="E102" s="103"/>
      <c r="F102" s="3"/>
      <c r="G102" s="62" t="str">
        <f>Reglement!G110</f>
        <v/>
      </c>
      <c r="H102" s="62">
        <f>Reglement!H110</f>
        <v>0</v>
      </c>
      <c r="I102" s="3" t="s">
        <v>37</v>
      </c>
      <c r="J102" s="3"/>
      <c r="K102" s="121">
        <f t="shared" si="9"/>
        <v>0</v>
      </c>
      <c r="L102" s="31" t="str">
        <f ca="1">H102&amp;IF($K$98=2,IF($K$98-K102=2,",00",IF($K$98-K102=1,"0","")),IF($K$98=1,IF($K$98-K102=1,",0",""),""))&amp;"% "&amp;Taal03!$B$186</f>
        <v>0% van de prijzenpot</v>
      </c>
      <c r="M102" s="31" t="str">
        <f t="shared" si="8"/>
        <v>€ 0,00</v>
      </c>
      <c r="N102" s="3"/>
      <c r="O102" s="74"/>
      <c r="P102" s="75"/>
      <c r="Q102" s="658" t="str">
        <f>Reglement!G96</f>
        <v>A</v>
      </c>
      <c r="R102" s="74" t="s">
        <v>852</v>
      </c>
      <c r="T102" s="36"/>
    </row>
    <row r="103" spans="2:20" hidden="1" x14ac:dyDescent="0.25">
      <c r="B103" s="102"/>
      <c r="C103" s="3"/>
      <c r="D103" s="103"/>
      <c r="E103" s="103"/>
      <c r="F103" s="3"/>
      <c r="G103" s="62" t="str">
        <f>Reglement!G111</f>
        <v/>
      </c>
      <c r="H103" s="62">
        <f>Reglement!H111</f>
        <v>0</v>
      </c>
      <c r="I103" s="3" t="s">
        <v>38</v>
      </c>
      <c r="J103" s="3"/>
      <c r="K103" s="121">
        <f t="shared" si="9"/>
        <v>0</v>
      </c>
      <c r="L103" s="31" t="str">
        <f ca="1">H103&amp;IF($K$98=2,IF($K$98-K103=2,",00",IF($K$98-K103=1,"0","")),IF($K$98=1,IF($K$98-K103=1,",0",""),""))&amp;"% "&amp;Taal03!$B$186</f>
        <v>0% van de prijzenpot</v>
      </c>
      <c r="M103" s="31" t="str">
        <f t="shared" si="8"/>
        <v>€ 0,00</v>
      </c>
      <c r="N103" s="3"/>
      <c r="O103" s="74"/>
      <c r="P103" s="75"/>
      <c r="Q103" s="658" t="str">
        <f>Reglement!G97</f>
        <v>D</v>
      </c>
      <c r="R103" s="74" t="s">
        <v>1259</v>
      </c>
    </row>
    <row r="104" spans="2:20" hidden="1" x14ac:dyDescent="0.25">
      <c r="B104" s="102"/>
      <c r="C104" s="3"/>
      <c r="D104" s="103"/>
      <c r="E104" s="103"/>
      <c r="F104" s="3"/>
      <c r="G104" s="62" t="str">
        <f>Reglement!G112</f>
        <v/>
      </c>
      <c r="H104" s="62">
        <f>Reglement!H112</f>
        <v>0</v>
      </c>
      <c r="I104" s="3" t="s">
        <v>39</v>
      </c>
      <c r="J104" s="3"/>
      <c r="K104" s="121">
        <f t="shared" si="9"/>
        <v>0</v>
      </c>
      <c r="L104" s="31" t="str">
        <f ca="1">H104&amp;IF($K$98=2,IF($K$98-K104=2,",00",IF($K$98-K104=1,"0","")),IF($K$98=1,IF($K$98-K104=1,",0",""),""))&amp;"% "&amp;Taal03!$B$186</f>
        <v>0% van de prijzenpot</v>
      </c>
      <c r="M104" s="31" t="str">
        <f t="shared" si="8"/>
        <v>€ 0,00</v>
      </c>
      <c r="N104" s="3"/>
      <c r="O104" s="74"/>
      <c r="P104" s="75"/>
      <c r="Q104" s="658" t="str">
        <f>Reglement!H98</f>
        <v/>
      </c>
      <c r="R104" s="391" t="s">
        <v>429</v>
      </c>
    </row>
    <row r="105" spans="2:20" hidden="1" x14ac:dyDescent="0.25">
      <c r="B105" s="102"/>
      <c r="C105" s="3"/>
      <c r="D105" s="103"/>
      <c r="E105" s="103"/>
      <c r="F105" s="3"/>
      <c r="G105" s="62" t="str">
        <f>Reglement!G113</f>
        <v/>
      </c>
      <c r="H105" s="62">
        <f>Reglement!H113</f>
        <v>0</v>
      </c>
      <c r="I105" s="3" t="s">
        <v>40</v>
      </c>
      <c r="J105" s="3"/>
      <c r="K105" s="121">
        <f t="shared" si="9"/>
        <v>0</v>
      </c>
      <c r="L105" s="31" t="str">
        <f ca="1">H105&amp;IF($K$98=2,IF($K$98-K105=2,",00",IF($K$98-K105=1,"0","")),IF($K$98=1,IF($K$98-K105=1,",0",""),""))&amp;"% "&amp;Taal03!$B$186</f>
        <v>0% van de prijzenpot</v>
      </c>
      <c r="M105" s="31" t="str">
        <f t="shared" si="8"/>
        <v>€ 0,00</v>
      </c>
      <c r="N105" s="3"/>
      <c r="O105" s="74"/>
      <c r="P105" s="75"/>
      <c r="Q105" s="658" t="str">
        <f>Reglement!H99</f>
        <v/>
      </c>
      <c r="R105" s="391" t="s">
        <v>430</v>
      </c>
    </row>
    <row r="106" spans="2:20" hidden="1" x14ac:dyDescent="0.25">
      <c r="B106" s="102"/>
      <c r="C106" s="3"/>
      <c r="D106" s="103"/>
      <c r="E106" s="103"/>
      <c r="F106" s="3"/>
      <c r="G106" s="62" t="str">
        <f>Reglement!G114</f>
        <v/>
      </c>
      <c r="H106" s="62">
        <f>Reglement!H114</f>
        <v>0</v>
      </c>
      <c r="I106" s="3" t="s">
        <v>41</v>
      </c>
      <c r="J106" s="3"/>
      <c r="K106" s="121">
        <f t="shared" si="9"/>
        <v>0</v>
      </c>
      <c r="L106" s="31" t="str">
        <f ca="1">H106&amp;IF($K$98=2,IF($K$98-K106=2,",00",IF($K$98-K106=1,"0","")),IF($K$98=1,IF($K$98-K106=1,",0",""),""))&amp;"% "&amp;Taal03!$B$186</f>
        <v>0% van de prijzenpot</v>
      </c>
      <c r="M106" s="31" t="str">
        <f t="shared" si="8"/>
        <v>€ 0,00</v>
      </c>
      <c r="N106" s="3"/>
      <c r="O106" s="74"/>
      <c r="P106" s="75"/>
      <c r="Q106" s="658" t="str">
        <f>Reglement!H100</f>
        <v/>
      </c>
      <c r="R106" s="391" t="s">
        <v>431</v>
      </c>
    </row>
    <row r="107" spans="2:20" hidden="1" x14ac:dyDescent="0.25">
      <c r="B107" s="102"/>
      <c r="C107" s="3"/>
      <c r="D107" s="103"/>
      <c r="E107" s="103"/>
      <c r="F107" s="3"/>
      <c r="G107" s="62" t="str">
        <f>Reglement!G115</f>
        <v/>
      </c>
      <c r="H107" s="62">
        <f>Reglement!H115</f>
        <v>0</v>
      </c>
      <c r="I107" s="3" t="s">
        <v>42</v>
      </c>
      <c r="J107" s="3"/>
      <c r="K107" s="121">
        <f t="shared" si="9"/>
        <v>0</v>
      </c>
      <c r="L107" s="31" t="str">
        <f ca="1">H107&amp;IF($K$98=2,IF($K$98-K107=2,",00",IF($K$98-K107=1,"0","")),IF($K$98=1,IF($K$98-K107=1,",0",""),""))&amp;"% "&amp;Taal03!$B$186</f>
        <v>0% van de prijzenpot</v>
      </c>
      <c r="M107" s="31" t="str">
        <f t="shared" si="8"/>
        <v>€ 0,00</v>
      </c>
      <c r="N107" s="3"/>
      <c r="O107" s="74"/>
      <c r="P107" s="75"/>
      <c r="Q107" s="658" t="str">
        <f>Reglement!H101</f>
        <v/>
      </c>
      <c r="R107" s="391" t="s">
        <v>432</v>
      </c>
    </row>
    <row r="108" spans="2:20" hidden="1" x14ac:dyDescent="0.25">
      <c r="B108" s="102"/>
      <c r="C108" s="3"/>
      <c r="D108" s="103"/>
      <c r="E108" s="103"/>
      <c r="F108" s="3"/>
      <c r="G108" s="31" t="str">
        <f>Reglement!G116</f>
        <v/>
      </c>
      <c r="H108" s="31">
        <f>Reglement!H116</f>
        <v>0</v>
      </c>
      <c r="I108" s="3" t="s">
        <v>43</v>
      </c>
      <c r="J108" s="3"/>
      <c r="K108" s="221">
        <f t="shared" si="9"/>
        <v>0</v>
      </c>
      <c r="L108" s="31" t="str">
        <f ca="1">H108&amp;IF($K$98=2,IF($K$98-K108=2,",00",IF($K$98-K108=1,"0","")),IF($K$98=1,IF($K$98-K108=1,",0",""),""))&amp;"% "&amp;Taal03!$B$186</f>
        <v>0% van de prijzenpot</v>
      </c>
      <c r="M108" s="31" t="str">
        <f t="shared" si="8"/>
        <v>€ 0,00</v>
      </c>
      <c r="N108" s="3"/>
      <c r="O108" s="74"/>
      <c r="P108" s="75"/>
      <c r="Q108" s="658" t="e">
        <f>"€"&amp;FIXED(Reglement!H102,2)</f>
        <v>#VALUE!</v>
      </c>
      <c r="R108" s="391" t="s">
        <v>1260</v>
      </c>
    </row>
    <row r="109" spans="2:20" hidden="1" x14ac:dyDescent="0.25">
      <c r="B109" s="80"/>
      <c r="C109" s="82"/>
      <c r="D109" s="82"/>
      <c r="E109" s="82"/>
      <c r="F109" s="82"/>
      <c r="G109" s="82"/>
      <c r="H109" s="82"/>
      <c r="I109" s="82"/>
      <c r="J109" s="82"/>
      <c r="K109" s="82"/>
      <c r="L109" s="82"/>
      <c r="M109" s="82"/>
      <c r="N109" s="82"/>
      <c r="O109" s="84"/>
      <c r="P109" s="80"/>
      <c r="Q109" s="82"/>
      <c r="R109" s="84"/>
    </row>
  </sheetData>
  <sheetProtection algorithmName="SHA-512" hashValue="IOdsollxl2wqfVWesnJzp2wc8s5c91DELzppBXduAcvSp0Z9CMqghlc2M+A9eA+wGaVjVoUwMvgEfS0Ht6XShg==" saltValue="xge75qG5o7+xfq/NhzH8uQ=="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7" priority="8133">
      <formula>$Q$5=0</formula>
    </cfRule>
  </conditionalFormatting>
  <conditionalFormatting sqref="C2:N2">
    <cfRule type="expression" dxfId="76" priority="8">
      <formula>$P$91=0</formula>
    </cfRule>
    <cfRule type="expression" dxfId="75" priority="8134">
      <formula>AND($N$91=0,$P$91=1)</formula>
    </cfRule>
  </conditionalFormatting>
  <conditionalFormatting sqref="D3 M3 D5 D86 M86">
    <cfRule type="expression" dxfId="74" priority="8139">
      <formula>$A$1="A255255255"</formula>
    </cfRule>
    <cfRule type="expression" dxfId="73"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2">
    <tabColor rgb="FF0050A0"/>
  </sheetPr>
  <dimension ref="A1:BG90"/>
  <sheetViews>
    <sheetView showRowColHeaders="0" topLeftCell="A36" zoomScaleNormal="100" workbookViewId="0"/>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9" hidden="1" customWidth="1"/>
    <col min="34" max="35" width="3.7109375" style="49" hidden="1" customWidth="1"/>
    <col min="36" max="36" width="16.7109375" style="44" hidden="1" customWidth="1"/>
    <col min="37" max="37" width="3.7109375" style="44" hidden="1" customWidth="1"/>
    <col min="38" max="44" width="3.7109375" style="49"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4" t="str">
        <f>Voorblad!A1</f>
        <v>A255255255</v>
      </c>
      <c r="B1" s="94" t="str">
        <f>Voorblad!B1</f>
        <v>B000080160</v>
      </c>
      <c r="C1" s="94" t="str">
        <f>Voorblad!C1</f>
        <v>C150200250</v>
      </c>
      <c r="D1" s="94" t="str">
        <f>Voorblad!D1</f>
        <v>D000080160</v>
      </c>
      <c r="E1" s="94" t="str">
        <f>Voorblad!E1</f>
        <v>E000080160</v>
      </c>
      <c r="AL1" s="44"/>
      <c r="AM1" s="44"/>
      <c r="AN1" s="44"/>
      <c r="AO1" s="44"/>
      <c r="AP1" s="44"/>
      <c r="AQ1" s="44"/>
      <c r="AR1" s="44"/>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240" t="s">
        <v>193</v>
      </c>
      <c r="Z2" s="1240"/>
      <c r="AA2" s="3"/>
      <c r="AB2" s="3"/>
      <c r="AC2" s="3"/>
      <c r="AD2" s="3"/>
      <c r="AE2" s="118"/>
      <c r="AF2" s="118"/>
      <c r="AG2" s="118"/>
      <c r="AH2" s="158"/>
      <c r="AI2" s="158"/>
      <c r="AJ2" s="158"/>
      <c r="AK2" s="158"/>
      <c r="AL2" s="158"/>
      <c r="AM2" s="158"/>
      <c r="AN2" s="158"/>
      <c r="AO2" s="158"/>
      <c r="AP2" s="158"/>
      <c r="AQ2" s="158"/>
      <c r="AR2" s="158"/>
      <c r="AS2" s="158"/>
      <c r="AT2" s="158"/>
      <c r="AU2" s="158"/>
      <c r="AV2" s="158"/>
      <c r="AW2" s="158"/>
      <c r="AX2" s="158"/>
      <c r="AY2" s="158"/>
      <c r="AZ2" s="430" t="s">
        <v>467</v>
      </c>
      <c r="BA2" s="158"/>
      <c r="BC2" s="1144" t="str">
        <f ca="1">Taal01!$B$39</f>
        <v>Groepswedstrijden</v>
      </c>
      <c r="BD2" s="1144"/>
      <c r="BE2" s="1144"/>
      <c r="BF2" s="1144"/>
      <c r="BG2" s="1144"/>
    </row>
    <row r="3" spans="1:59" ht="15" customHeight="1" x14ac:dyDescent="0.4">
      <c r="B3" s="17"/>
      <c r="C3" s="1075"/>
      <c r="D3" s="1089" t="str">
        <f ca="1">Taal04!B7&amp;" - "&amp;Taal04!B8</f>
        <v>Excel Deelname Formulier - Groepswedstrijden</v>
      </c>
      <c r="E3" s="1077"/>
      <c r="F3" s="1077"/>
      <c r="G3" s="1077"/>
      <c r="H3" s="1077"/>
      <c r="I3" s="1077"/>
      <c r="J3" s="1077"/>
      <c r="K3" s="1077"/>
      <c r="L3" s="1077"/>
      <c r="M3" s="1077"/>
      <c r="N3" s="1077"/>
      <c r="O3" s="1077"/>
      <c r="P3" s="1077"/>
      <c r="Q3" s="1077"/>
      <c r="R3" s="1077"/>
      <c r="S3" s="1077"/>
      <c r="T3" s="1077"/>
      <c r="U3" s="1077"/>
      <c r="V3" s="1085" t="str">
        <f ca="1">IF(Reglement!M3="","",Reglement!M3)</f>
        <v>EURO 2024: EK Polo-poule</v>
      </c>
      <c r="W3" s="1079"/>
      <c r="X3" s="17"/>
      <c r="Y3" s="1240"/>
      <c r="Z3" s="1240"/>
      <c r="AA3" s="3"/>
      <c r="AB3" s="3"/>
      <c r="AC3" s="3"/>
      <c r="AD3" s="3"/>
      <c r="AE3" s="118"/>
      <c r="AF3" s="118"/>
      <c r="AG3" s="118"/>
      <c r="AH3" s="158"/>
      <c r="AI3" s="158"/>
      <c r="AJ3" s="1250" t="s">
        <v>207</v>
      </c>
      <c r="AK3" s="1250"/>
      <c r="AL3" s="1250"/>
      <c r="AM3" s="1250"/>
      <c r="AN3" s="1250"/>
      <c r="AO3" s="1250"/>
      <c r="AP3" s="1250"/>
      <c r="AQ3" s="1250"/>
      <c r="AR3" s="1250"/>
      <c r="AS3" s="1250"/>
      <c r="AT3" s="1250"/>
      <c r="AU3" s="1250"/>
      <c r="AV3" s="1250"/>
      <c r="AW3" s="1250"/>
      <c r="AX3" s="1250"/>
      <c r="AY3" s="1250"/>
      <c r="AZ3" s="430" t="s">
        <v>468</v>
      </c>
      <c r="BA3" s="429"/>
      <c r="BC3" s="1144"/>
      <c r="BD3" s="1144"/>
      <c r="BE3" s="1144"/>
      <c r="BF3" s="1144"/>
      <c r="BG3" s="1144"/>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8" t="s">
        <v>192</v>
      </c>
      <c r="AA4" s="3" t="str">
        <f>SUBSTITUTE(F6," ","#*")</f>
        <v/>
      </c>
      <c r="AB4" s="3"/>
      <c r="AC4" s="118" t="s">
        <v>191</v>
      </c>
      <c r="AD4" s="118" t="s">
        <v>0</v>
      </c>
      <c r="AE4" s="118" t="s">
        <v>190</v>
      </c>
      <c r="AF4" s="118"/>
      <c r="AG4" s="118"/>
      <c r="AH4" s="158"/>
      <c r="AI4" s="158"/>
      <c r="AJ4" s="1250"/>
      <c r="AK4" s="1250"/>
      <c r="AL4" s="1250"/>
      <c r="AM4" s="1250"/>
      <c r="AN4" s="1250"/>
      <c r="AO4" s="1250"/>
      <c r="AP4" s="1250"/>
      <c r="AQ4" s="1250"/>
      <c r="AR4" s="1250"/>
      <c r="AS4" s="1250"/>
      <c r="AT4" s="1250"/>
      <c r="AU4" s="1250"/>
      <c r="AV4" s="1250"/>
      <c r="AW4" s="1250"/>
      <c r="AX4" s="1250"/>
      <c r="AY4" s="1250"/>
      <c r="AZ4" s="431" t="s">
        <v>469</v>
      </c>
      <c r="BA4" s="429"/>
      <c r="BC4" s="1144"/>
      <c r="BD4" s="1144"/>
      <c r="BE4" s="1144"/>
      <c r="BF4" s="1144"/>
      <c r="BG4" s="1144"/>
    </row>
    <row r="5" spans="1:59" ht="15" customHeight="1" x14ac:dyDescent="0.25">
      <c r="B5" s="17"/>
      <c r="C5" s="1047"/>
      <c r="D5" s="16"/>
      <c r="E5" s="16"/>
      <c r="F5" s="16"/>
      <c r="G5" s="16"/>
      <c r="H5" s="16"/>
      <c r="I5" s="16"/>
      <c r="J5" s="16"/>
      <c r="K5" s="16"/>
      <c r="L5" s="16"/>
      <c r="M5" s="16"/>
      <c r="N5" s="16"/>
      <c r="O5" s="16"/>
      <c r="P5" s="16"/>
      <c r="Q5" s="16"/>
      <c r="R5" s="16"/>
      <c r="S5" s="16"/>
      <c r="T5" s="16"/>
      <c r="U5" s="16"/>
      <c r="V5" s="16"/>
      <c r="W5" s="1048"/>
      <c r="X5" s="17"/>
      <c r="Y5" s="3"/>
      <c r="Z5" s="98" t="s">
        <v>189</v>
      </c>
      <c r="AA5" s="103" t="str">
        <f>IF(LEN(AA4)&lt;10,LEN(AA4)&amp;"#",LEN(AA4))</f>
        <v>0#</v>
      </c>
      <c r="AB5" s="3"/>
      <c r="AC5" s="118" t="str">
        <f>AA7</f>
        <v>LEEG</v>
      </c>
      <c r="AD5" s="118" t="str">
        <f>IF(AC5="GOED",AA6,"FOUT")</f>
        <v>FOUT</v>
      </c>
      <c r="AE5" s="118">
        <f>LEN(AD5)</f>
        <v>4</v>
      </c>
      <c r="AF5" s="118"/>
      <c r="AG5" s="118"/>
      <c r="AH5" s="158"/>
      <c r="AI5" s="158"/>
      <c r="AJ5" s="527" t="s">
        <v>517</v>
      </c>
      <c r="AK5" s="157"/>
      <c r="AL5" s="158"/>
      <c r="AM5" s="158"/>
      <c r="AN5" s="158"/>
      <c r="AO5" s="158"/>
      <c r="AP5" s="159"/>
      <c r="AQ5" s="159"/>
      <c r="AR5" s="159"/>
      <c r="AS5" s="157"/>
      <c r="AT5" s="157"/>
      <c r="AU5" s="157"/>
      <c r="AV5" s="157"/>
      <c r="AW5" s="157"/>
      <c r="AX5" s="157"/>
      <c r="AY5" s="172"/>
      <c r="AZ5" s="432" t="s">
        <v>470</v>
      </c>
      <c r="BA5" s="71"/>
    </row>
    <row r="6" spans="1:59" ht="15" customHeight="1" x14ac:dyDescent="0.25">
      <c r="B6" s="17"/>
      <c r="C6" s="1049"/>
      <c r="D6" s="1238" t="str">
        <f ca="1">Taal04!B14&amp;" :"</f>
        <v>Naam :</v>
      </c>
      <c r="E6" s="1238"/>
      <c r="F6" s="1239"/>
      <c r="G6" s="1239"/>
      <c r="H6" s="1239"/>
      <c r="I6" s="1239"/>
      <c r="J6" s="1239"/>
      <c r="K6" s="1239"/>
      <c r="L6" s="1239"/>
      <c r="M6" s="1024"/>
      <c r="N6" s="1238" t="str">
        <f ca="1">Taal04!B15&amp;" :"</f>
        <v>E-mail :</v>
      </c>
      <c r="O6" s="1238"/>
      <c r="P6" s="1225"/>
      <c r="Q6" s="1226"/>
      <c r="R6" s="1226"/>
      <c r="S6" s="1226"/>
      <c r="T6" s="1226"/>
      <c r="U6" s="1226"/>
      <c r="V6" s="1226"/>
      <c r="W6" s="61"/>
      <c r="X6" s="17"/>
      <c r="Y6" s="118"/>
      <c r="Z6" s="98" t="s">
        <v>188</v>
      </c>
      <c r="AA6" s="1227" t="str">
        <f>"|"&amp;AA4&amp;AA5</f>
        <v>|0#</v>
      </c>
      <c r="AB6" s="1228"/>
      <c r="AC6" s="1228"/>
      <c r="AD6" s="1228"/>
      <c r="AE6" s="1229"/>
      <c r="AF6" s="118"/>
      <c r="AG6" s="552" t="s">
        <v>545</v>
      </c>
      <c r="AH6" s="158"/>
      <c r="AI6" s="158"/>
      <c r="AJ6" s="438"/>
      <c r="AK6" s="194"/>
      <c r="AL6" s="194"/>
      <c r="AM6" s="194"/>
      <c r="AN6" s="194"/>
      <c r="AO6" s="194"/>
      <c r="AP6" s="194"/>
      <c r="AQ6" s="194"/>
      <c r="AR6" s="194"/>
      <c r="AS6" s="194"/>
      <c r="AT6" s="194"/>
      <c r="AU6" s="194"/>
      <c r="AV6" s="194"/>
      <c r="AW6" s="194"/>
      <c r="AX6" s="172"/>
      <c r="AY6" s="172"/>
      <c r="AZ6" s="428" t="s">
        <v>471</v>
      </c>
      <c r="BA6" s="71"/>
    </row>
    <row r="7" spans="1:59" ht="15" customHeight="1" x14ac:dyDescent="0.25">
      <c r="B7" s="17"/>
      <c r="C7" s="1050"/>
      <c r="D7" s="353"/>
      <c r="E7" s="353"/>
      <c r="F7" s="353"/>
      <c r="G7" s="353"/>
      <c r="H7" s="353"/>
      <c r="I7" s="353"/>
      <c r="J7" s="353"/>
      <c r="K7" s="353"/>
      <c r="L7" s="545" t="str">
        <f ca="1">SUBSTITUTE(Taal04!B16,"##","32")</f>
        <v>(maximaal 32 tekens)</v>
      </c>
      <c r="M7" s="348"/>
      <c r="N7" s="353"/>
      <c r="O7" s="553" t="str">
        <f>IF(AND(AD21=1,AA83="NEE"),"└ e-mailadres is optioneel","")</f>
        <v/>
      </c>
      <c r="P7" s="546"/>
      <c r="Q7" s="353"/>
      <c r="R7" s="353"/>
      <c r="S7" s="353"/>
      <c r="T7" s="353"/>
      <c r="U7" s="353"/>
      <c r="V7" s="545" t="str">
        <f ca="1">SUBSTITUTE(Taal04!B16,"##","64")</f>
        <v>(maximaal 64 tekens)</v>
      </c>
      <c r="W7" s="1052"/>
      <c r="X7" s="17"/>
      <c r="Y7" s="3"/>
      <c r="Z7" s="98" t="s">
        <v>187</v>
      </c>
      <c r="AA7" s="3" t="str">
        <f>IF(ISBLANK(F6)=TRUE,"LEEG",IF(LEN(F6)&gt;32,"LANG","GOED"))</f>
        <v>LEEG</v>
      </c>
      <c r="AB7" s="118"/>
      <c r="AC7" s="118"/>
      <c r="AD7" s="118"/>
      <c r="AE7" s="118"/>
      <c r="AF7" s="118"/>
      <c r="AG7" s="118"/>
      <c r="AH7" s="158"/>
      <c r="AI7" s="158"/>
      <c r="AJ7" s="71"/>
      <c r="AK7" s="194"/>
      <c r="AL7" s="194"/>
      <c r="AM7" s="194"/>
      <c r="AN7" s="194"/>
      <c r="AO7" s="194"/>
      <c r="AP7" s="194"/>
      <c r="AQ7" s="194"/>
      <c r="AR7" s="194"/>
      <c r="AS7" s="194"/>
      <c r="AT7" s="194"/>
      <c r="AU7" s="194"/>
      <c r="AV7" s="194"/>
      <c r="AW7" s="194"/>
      <c r="AX7" s="172"/>
      <c r="AY7" s="172"/>
      <c r="AZ7" s="428" t="s">
        <v>472</v>
      </c>
      <c r="BA7" s="71"/>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8"/>
      <c r="AA8" s="3"/>
      <c r="AB8" s="3"/>
      <c r="AC8" s="3"/>
      <c r="AD8" s="3"/>
      <c r="AE8" s="118"/>
      <c r="AF8" s="118"/>
      <c r="AG8" s="118"/>
      <c r="AH8" s="158"/>
      <c r="AI8" s="158"/>
      <c r="AJ8" s="71"/>
      <c r="AK8" s="1230" t="s">
        <v>176</v>
      </c>
      <c r="AL8" s="1231" t="str">
        <f ca="1">AJ12</f>
        <v>Duitsland</v>
      </c>
      <c r="AM8" s="1231" t="str">
        <f ca="1">AJ13</f>
        <v>Schotland</v>
      </c>
      <c r="AN8" s="1231" t="str">
        <f ca="1">AJ14</f>
        <v>Hongarije</v>
      </c>
      <c r="AO8" s="1231" t="str">
        <f ca="1">AJ15</f>
        <v>Zwitserland</v>
      </c>
      <c r="AP8" s="1230" t="s">
        <v>99</v>
      </c>
      <c r="AQ8" s="1236" t="s">
        <v>175</v>
      </c>
      <c r="AR8" s="1236" t="s">
        <v>174</v>
      </c>
      <c r="AS8" s="1231" t="str">
        <f ca="1">"Gelijk met "&amp;AH12</f>
        <v>Gelijk met A1</v>
      </c>
      <c r="AT8" s="1231" t="str">
        <f ca="1">"Gelijk met "&amp;AH13</f>
        <v>Gelijk met A2</v>
      </c>
      <c r="AU8" s="1231" t="str">
        <f ca="1">"Gelijk met "&amp;AH14</f>
        <v>Gelijk met A3</v>
      </c>
      <c r="AV8" s="1231" t="str">
        <f ca="1">"Gelijk met "&amp;AH15</f>
        <v>Gelijk met A4</v>
      </c>
      <c r="AW8" s="1231" t="s">
        <v>99</v>
      </c>
      <c r="AX8" s="1236" t="s">
        <v>175</v>
      </c>
      <c r="AY8" s="1236" t="s">
        <v>174</v>
      </c>
      <c r="AZ8" s="1230" t="s">
        <v>232</v>
      </c>
      <c r="BA8" s="1230" t="s">
        <v>71</v>
      </c>
    </row>
    <row r="9" spans="1:59" ht="15" customHeight="1" x14ac:dyDescent="0.25">
      <c r="B9" s="17"/>
      <c r="C9" s="1075"/>
      <c r="D9" s="1090" t="str">
        <f ca="1">Taal04!B41</f>
        <v>Toelichting bij het Invullen</v>
      </c>
      <c r="E9" s="1077"/>
      <c r="F9" s="1077"/>
      <c r="G9" s="1077"/>
      <c r="H9" s="1077"/>
      <c r="I9" s="1077"/>
      <c r="J9" s="1077"/>
      <c r="K9" s="1077"/>
      <c r="L9" s="1077"/>
      <c r="M9" s="1077"/>
      <c r="N9" s="1077"/>
      <c r="O9" s="1077"/>
      <c r="P9" s="1077"/>
      <c r="Q9" s="1077"/>
      <c r="R9" s="1077"/>
      <c r="S9" s="1077"/>
      <c r="T9" s="1077"/>
      <c r="U9" s="1077"/>
      <c r="V9" s="1077"/>
      <c r="W9" s="1079"/>
      <c r="X9" s="17"/>
      <c r="Y9" s="1253" t="s">
        <v>185</v>
      </c>
      <c r="Z9" s="1253"/>
      <c r="AA9" s="1253"/>
      <c r="AB9" s="1253"/>
      <c r="AC9" s="1253"/>
      <c r="AD9" s="1253"/>
      <c r="AE9" s="2"/>
      <c r="AF9" s="1255" t="s">
        <v>184</v>
      </c>
      <c r="AG9" s="1255"/>
      <c r="AH9" s="158"/>
      <c r="AI9" s="158"/>
      <c r="AJ9" s="71"/>
      <c r="AK9" s="1230"/>
      <c r="AL9" s="1231"/>
      <c r="AM9" s="1231"/>
      <c r="AN9" s="1231"/>
      <c r="AO9" s="1231"/>
      <c r="AP9" s="1230"/>
      <c r="AQ9" s="1236"/>
      <c r="AR9" s="1236"/>
      <c r="AS9" s="1231"/>
      <c r="AT9" s="1231"/>
      <c r="AU9" s="1231"/>
      <c r="AV9" s="1231"/>
      <c r="AW9" s="1231"/>
      <c r="AX9" s="1236"/>
      <c r="AY9" s="1236"/>
      <c r="AZ9" s="1230"/>
      <c r="BA9" s="1230"/>
    </row>
    <row r="10" spans="1:59" ht="15" customHeight="1" x14ac:dyDescent="0.25">
      <c r="B10" s="17"/>
      <c r="C10" s="408"/>
      <c r="D10" s="15"/>
      <c r="E10" s="15"/>
      <c r="F10" s="15"/>
      <c r="G10" s="15"/>
      <c r="H10" s="15"/>
      <c r="I10" s="15"/>
      <c r="J10" s="15"/>
      <c r="K10" s="15"/>
      <c r="L10" s="15"/>
      <c r="M10" s="15"/>
      <c r="N10" s="15"/>
      <c r="O10" s="15"/>
      <c r="P10" s="15"/>
      <c r="Q10" s="15"/>
      <c r="R10" s="15"/>
      <c r="S10" s="15"/>
      <c r="T10" s="15"/>
      <c r="U10" s="15"/>
      <c r="V10" s="15"/>
      <c r="W10" s="387"/>
      <c r="X10" s="17"/>
      <c r="Y10" s="1254"/>
      <c r="Z10" s="1254"/>
      <c r="AA10" s="1254"/>
      <c r="AB10" s="1254"/>
      <c r="AC10" s="1254"/>
      <c r="AD10" s="1254"/>
      <c r="AE10" s="2"/>
      <c r="AF10" s="1255" t="s">
        <v>183</v>
      </c>
      <c r="AG10" s="1255"/>
      <c r="AH10" s="158"/>
      <c r="AI10" s="158"/>
      <c r="AJ10" s="480" t="str">
        <f ca="1">D23</f>
        <v>Groep A</v>
      </c>
      <c r="AK10" s="1230"/>
      <c r="AL10" s="1231"/>
      <c r="AM10" s="1231"/>
      <c r="AN10" s="1231"/>
      <c r="AO10" s="1231"/>
      <c r="AP10" s="1230"/>
      <c r="AQ10" s="1236"/>
      <c r="AR10" s="1236"/>
      <c r="AS10" s="1231"/>
      <c r="AT10" s="1231"/>
      <c r="AU10" s="1231"/>
      <c r="AV10" s="1231"/>
      <c r="AW10" s="1231"/>
      <c r="AX10" s="1236"/>
      <c r="AY10" s="1236"/>
      <c r="AZ10" s="1230"/>
      <c r="BA10" s="1230"/>
    </row>
    <row r="11" spans="1:59" ht="15" customHeight="1" x14ac:dyDescent="0.25">
      <c r="B11" s="17"/>
      <c r="C11" s="408"/>
      <c r="D11" s="1237" t="str">
        <f ca="1">Taal04!B43</f>
        <v>Voor het voorspellen van de TOTO vult men een 1 in wanneer men denkt dat de thuisploeg zal winnen, een 2 als men denkt dat de uitploeg zal winnen en wanneer men een gelijkspel verwacht vult men een 3 in.</v>
      </c>
      <c r="E11" s="1237"/>
      <c r="F11" s="1237"/>
      <c r="G11" s="1237"/>
      <c r="H11" s="1237"/>
      <c r="I11" s="1237"/>
      <c r="J11" s="1237"/>
      <c r="K11" s="1237"/>
      <c r="L11" s="1237"/>
      <c r="M11" s="1237"/>
      <c r="N11" s="1237"/>
      <c r="O11" s="1237"/>
      <c r="P11" s="1237"/>
      <c r="Q11" s="1237"/>
      <c r="R11" s="1237"/>
      <c r="S11" s="1237"/>
      <c r="T11" s="1237"/>
      <c r="U11" s="1237"/>
      <c r="V11" s="1237"/>
      <c r="W11" s="387"/>
      <c r="X11" s="17"/>
      <c r="Y11" s="1241"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|FOUTFOUTFOUTFOUTFOUTFOUTFOUTFOUTFOUTFOUTFOUTFOUTFOUTFOUTFOUTFOUTFOUTFOUTFOUTFOUTFOUTFOUTFOUTFOUTFOUTFOUTFOUTFOUTFOUTFOUTFOUTFOUTFOUTFOUTFOUTFOUT</v>
      </c>
      <c r="Z11" s="1242"/>
      <c r="AA11" s="1242"/>
      <c r="AB11" s="1242"/>
      <c r="AC11" s="1242"/>
      <c r="AD11" s="1243"/>
      <c r="AE11" s="41"/>
      <c r="AF11" s="910" t="s">
        <v>262</v>
      </c>
      <c r="AG11" s="107" t="str">
        <f t="shared" ref="AG11:AG58" si="0">IF(TYPE(VLOOKUP(AF11,$D$25:$D$60,1,FALSE)*1)=1,VLOOKUP(AF11,$D$25:$AA$60,24,FALSE),IF(TYPE(VLOOKUP(AF11,$N$25:$N$60,1,FALSE)*1)=1,VLOOKUP(AF11,$N$25:$AD$60,17,FALSE),"ERROR"))</f>
        <v>FOUT</v>
      </c>
      <c r="AH11" s="158"/>
      <c r="AI11" s="158"/>
      <c r="AJ11" s="479" t="s">
        <v>17</v>
      </c>
      <c r="AK11" s="1230"/>
      <c r="AL11" s="1231"/>
      <c r="AM11" s="1231"/>
      <c r="AN11" s="1231"/>
      <c r="AO11" s="1231"/>
      <c r="AP11" s="1230"/>
      <c r="AQ11" s="1236"/>
      <c r="AR11" s="1236"/>
      <c r="AS11" s="1231"/>
      <c r="AT11" s="1231"/>
      <c r="AU11" s="1231"/>
      <c r="AV11" s="1231"/>
      <c r="AW11" s="1231"/>
      <c r="AX11" s="1236"/>
      <c r="AY11" s="1236"/>
      <c r="AZ11" s="1230"/>
      <c r="BA11" s="1230"/>
    </row>
    <row r="12" spans="1:59" ht="15" customHeight="1" x14ac:dyDescent="0.25">
      <c r="B12" s="17"/>
      <c r="C12" s="408"/>
      <c r="D12" s="1237"/>
      <c r="E12" s="1237"/>
      <c r="F12" s="1237"/>
      <c r="G12" s="1237"/>
      <c r="H12" s="1237"/>
      <c r="I12" s="1237"/>
      <c r="J12" s="1237"/>
      <c r="K12" s="1237"/>
      <c r="L12" s="1237"/>
      <c r="M12" s="1237"/>
      <c r="N12" s="1237"/>
      <c r="O12" s="1237"/>
      <c r="P12" s="1237"/>
      <c r="Q12" s="1237"/>
      <c r="R12" s="1237"/>
      <c r="S12" s="1237"/>
      <c r="T12" s="1237"/>
      <c r="U12" s="1237"/>
      <c r="V12" s="1237"/>
      <c r="W12" s="387"/>
      <c r="X12" s="17"/>
      <c r="Y12" s="1244"/>
      <c r="Z12" s="1245"/>
      <c r="AA12" s="1245"/>
      <c r="AB12" s="1245"/>
      <c r="AC12" s="1245"/>
      <c r="AD12" s="1246"/>
      <c r="AE12" s="2"/>
      <c r="AF12" s="910" t="s">
        <v>263</v>
      </c>
      <c r="AG12" s="107" t="str">
        <f t="shared" si="0"/>
        <v>FOUT</v>
      </c>
      <c r="AH12" s="247" t="str">
        <f ca="1">RIGHT(AJ10,1)&amp;1</f>
        <v>A1</v>
      </c>
      <c r="AI12" s="158">
        <f ca="1">$AU$83</f>
        <v>1</v>
      </c>
      <c r="AJ12" s="524" t="str">
        <f ca="1">VLOOKUP(AH12,Voorblad!$X$67:$Z$98,2,FALSE)</f>
        <v>Duitsland</v>
      </c>
      <c r="AK12" s="248" t="str">
        <f ca="1">VLOOKUP(AH12,Voorblad!$X$67:$Z$98,3,FALSE)</f>
        <v>DE</v>
      </c>
      <c r="AL12" s="249">
        <v>0</v>
      </c>
      <c r="AM12" s="437">
        <f>IF(ISNUMBER(J25),IF(J25=1,3,IF(J25=3,1,0)),0)</f>
        <v>0</v>
      </c>
      <c r="AN12" s="437">
        <f>IF(ISNUMBER(J27),IF(J27=1,3,IF(J27=3,1,0)),0)</f>
        <v>0</v>
      </c>
      <c r="AO12" s="437">
        <f>IF(ISNUMBER(J29),IF(J29=2,3,IF(J29=3,1,0)),0)</f>
        <v>0</v>
      </c>
      <c r="AP12" s="149">
        <f>IF(AA25&lt;&gt;"FOUT",IF(AM12&gt;AL13,3,IF(AM12=AL13,1,0)),0)+IF(AA27&lt;&gt;"FOUT",IF(AN12&gt;AL14,3,IF(AN12=AL14,1,0)),0)+IF(AA29&lt;&gt;"FOUT",IF(AO12&gt;AL15,3,IF(AO12=AL15,1,0)),0)</f>
        <v>0</v>
      </c>
      <c r="AQ12" s="255">
        <f>SUM(AL12:AO12)*0</f>
        <v>0</v>
      </c>
      <c r="AR12" s="256">
        <f>SUM(AL12:AL15)*0</f>
        <v>0</v>
      </c>
      <c r="AS12" s="192">
        <v>0</v>
      </c>
      <c r="AT12" s="150">
        <f>IF($AP12=$AP13,AM12,0)</f>
        <v>0</v>
      </c>
      <c r="AU12" s="150">
        <f>IF($AP12=$AP14,AN12,0)</f>
        <v>0</v>
      </c>
      <c r="AV12" s="188">
        <f>IF($AP12=$AP15,AO12,0)</f>
        <v>0</v>
      </c>
      <c r="AW12" s="149">
        <f>IF(AT12&gt;AS13,3,IF(AT12=AS13,1,0))+IF(AU12&gt;AS14,3,IF(AU12=AS14,1,0))+IF(AV12&gt;AS15,3,IF(AV12=AS15,1,0))</f>
        <v>3</v>
      </c>
      <c r="AX12" s="255">
        <f>SUM(AS12:AV12)*0</f>
        <v>0</v>
      </c>
      <c r="AY12" s="250">
        <f>SUM(AS12:AS15)*0</f>
        <v>0</v>
      </c>
      <c r="AZ12" s="195">
        <f ca="1">AP12*10000000000000+AW12*100000000000+(500+AX12-AY12)*100000000+AX12*10000000+(500+AQ12-AR12)*1000+AQ12*10+AI12</f>
        <v>350000500001</v>
      </c>
      <c r="BA12" s="204">
        <f ca="1">RANK(AZ12,AZ12:AZ15)</f>
        <v>4</v>
      </c>
    </row>
    <row r="13" spans="1:59" ht="15" customHeight="1" x14ac:dyDescent="0.25">
      <c r="B13" s="17"/>
      <c r="C13" s="408"/>
      <c r="D13" s="40"/>
      <c r="E13" s="40"/>
      <c r="F13" s="40"/>
      <c r="G13" s="40"/>
      <c r="H13" s="40"/>
      <c r="I13" s="40"/>
      <c r="J13" s="40"/>
      <c r="K13" s="40"/>
      <c r="L13" s="40"/>
      <c r="M13" s="40"/>
      <c r="N13" s="40"/>
      <c r="O13" s="40"/>
      <c r="P13" s="40"/>
      <c r="Q13" s="40"/>
      <c r="R13" s="40"/>
      <c r="S13" s="40"/>
      <c r="T13" s="40"/>
      <c r="U13" s="40"/>
      <c r="V13" s="40"/>
      <c r="W13" s="387"/>
      <c r="X13" s="17"/>
      <c r="Y13" s="1247"/>
      <c r="Z13" s="1248"/>
      <c r="AA13" s="1248"/>
      <c r="AB13" s="1248"/>
      <c r="AC13" s="1248"/>
      <c r="AD13" s="1249"/>
      <c r="AE13" s="2"/>
      <c r="AF13" s="910" t="s">
        <v>264</v>
      </c>
      <c r="AG13" s="107" t="str">
        <f t="shared" ca="1" si="0"/>
        <v>FOUT</v>
      </c>
      <c r="AH13" s="247" t="str">
        <f ca="1">RIGHT(AJ10,1)&amp;2</f>
        <v>A2</v>
      </c>
      <c r="AI13" s="158">
        <f ca="1">$AV$83</f>
        <v>3</v>
      </c>
      <c r="AJ13" s="525" t="str">
        <f ca="1">VLOOKUP(AH13,Voorblad!$X$67:$Z$98,2,FALSE)</f>
        <v>Schotland</v>
      </c>
      <c r="AK13" s="257" t="str">
        <f ca="1">VLOOKUP(AH13,Voorblad!$X$67:$Z$98,3,FALSE)</f>
        <v>SC</v>
      </c>
      <c r="AL13" s="435">
        <f>IF(ISNUMBER(J25),IF(J25=2,3,IF(J25=3,1,0)),0)</f>
        <v>0</v>
      </c>
      <c r="AM13" s="251">
        <v>0</v>
      </c>
      <c r="AN13" s="436">
        <f>IF(ISNUMBER(J30),IF(J30=1,3,IF(J30=3,1,0)),0)</f>
        <v>0</v>
      </c>
      <c r="AO13" s="436">
        <f>IF(ISNUMBER(J28),IF(J28=1,3,IF(J28=3,1,0)),0)</f>
        <v>0</v>
      </c>
      <c r="AP13" s="148">
        <f>IF(AA25&lt;&gt;"FOUT",IF(AL13&gt;AM12,3,IF(AL13=AM12,1,0)),0)+IF(AA30&lt;&gt;"FOUT",IF(AN13&gt;AM14,3,IF(AN13=AM14,1,0)),0)+IF(AA28&lt;&gt;"FOUT",IF(AO13&gt;AM15,3,IF(AO13=AM15,1,0)),0)</f>
        <v>0</v>
      </c>
      <c r="AQ13" s="258">
        <f>SUM(AL13:AO13)*0</f>
        <v>0</v>
      </c>
      <c r="AR13" s="259">
        <f>SUM(AM12:AM15)*0</f>
        <v>0</v>
      </c>
      <c r="AS13" s="111">
        <f>IF($AP13=$AP12,AL13,0)</f>
        <v>0</v>
      </c>
      <c r="AT13" s="191">
        <v>0</v>
      </c>
      <c r="AU13" s="70">
        <f>IF($AP13=$AP14,AN13,0)</f>
        <v>0</v>
      </c>
      <c r="AV13" s="189">
        <f>IF($AP13=$AP15,AO13,0)</f>
        <v>0</v>
      </c>
      <c r="AW13" s="148">
        <f>IF(AS13&gt;AT12,3,IF(AS13=AT12,1,0))+IF(AU13&gt;AT14,3,IF(AU13=AT14,1,0))+IF(AV13&gt;AT15,3,IF(AV13=AT15,1,0))</f>
        <v>3</v>
      </c>
      <c r="AX13" s="258">
        <f>SUM(AS13:AV13)*0</f>
        <v>0</v>
      </c>
      <c r="AY13" s="252">
        <f>SUM(AT12:AT15)*0</f>
        <v>0</v>
      </c>
      <c r="AZ13" s="196">
        <f ca="1">AP13*10000000000000+AW13*100000000000+(500+AX13-AY13)*100000000+AX13*10000000+(500+AQ13-AR13)*1000+AQ13*10+AI13</f>
        <v>350000500003</v>
      </c>
      <c r="BA13" s="205">
        <f ca="1">RANK(AZ13,AZ12:AZ15)</f>
        <v>2</v>
      </c>
    </row>
    <row r="14" spans="1:59" ht="15" customHeight="1" x14ac:dyDescent="0.25">
      <c r="B14" s="17"/>
      <c r="C14" s="408"/>
      <c r="D14" s="1251" t="str">
        <f ca="1">Taal04!B44</f>
        <v>De achtergrondkleur van de in te vullen velden geeft de status van het veld aan. Deze status correspondeert met de tabel hier rechts.</v>
      </c>
      <c r="E14" s="1251"/>
      <c r="F14" s="1251"/>
      <c r="G14" s="1251"/>
      <c r="H14" s="1251"/>
      <c r="I14" s="1251"/>
      <c r="J14" s="1251"/>
      <c r="K14" s="1251"/>
      <c r="L14" s="1251"/>
      <c r="M14" s="1251"/>
      <c r="N14" s="1251"/>
      <c r="O14" s="1251"/>
      <c r="P14" s="60"/>
      <c r="Q14" s="19"/>
      <c r="R14" s="18" t="s">
        <v>16</v>
      </c>
      <c r="S14" s="1043" t="str">
        <f ca="1">Taal04!B45</f>
        <v>Goed ingevuld</v>
      </c>
      <c r="T14" s="1043"/>
      <c r="U14" s="1043"/>
      <c r="V14" s="1043"/>
      <c r="W14" s="387"/>
      <c r="X14" s="17"/>
      <c r="Y14" s="236"/>
      <c r="Z14" s="236"/>
      <c r="AA14" s="236"/>
      <c r="AB14" s="237"/>
      <c r="AC14" s="238" t="s">
        <v>182</v>
      </c>
      <c r="AD14" s="239">
        <f ca="1">LEN(Y11)</f>
        <v>145</v>
      </c>
      <c r="AE14" s="2"/>
      <c r="AF14" s="910" t="s">
        <v>265</v>
      </c>
      <c r="AG14" s="107" t="str">
        <f t="shared" ca="1" si="0"/>
        <v>FOUT</v>
      </c>
      <c r="AH14" s="247" t="str">
        <f ca="1">RIGHT(AJ10,1)&amp;3</f>
        <v>A3</v>
      </c>
      <c r="AI14" s="158">
        <f ca="1">$AW$83</f>
        <v>2</v>
      </c>
      <c r="AJ14" s="525" t="str">
        <f ca="1">VLOOKUP(AH14,Voorblad!$X$67:$Z$98,2,FALSE)</f>
        <v>Hongarije</v>
      </c>
      <c r="AK14" s="257" t="str">
        <f ca="1">VLOOKUP(AH14,Voorblad!$X$67:$Z$98,3,FALSE)</f>
        <v>HU</v>
      </c>
      <c r="AL14" s="435">
        <f>IF(ISNUMBER(J27),IF(J27=2,3,IF(J27=3,1,0)),0)</f>
        <v>0</v>
      </c>
      <c r="AM14" s="436">
        <f>IF(ISNUMBER(J30),IF(J30=2,3,IF(J30=3,1,0)),0)</f>
        <v>0</v>
      </c>
      <c r="AN14" s="251">
        <v>0</v>
      </c>
      <c r="AO14" s="436">
        <f>IF(ISNUMBER(J26),IF(J26=1,3,IF(J26=3,1,0)),0)</f>
        <v>0</v>
      </c>
      <c r="AP14" s="148">
        <f>IF(AA27&lt;&gt;"FOUT",IF(AL14&gt;AN12,3,IF(AL14=AN12,1,0)),0)+IF(AA30&lt;&gt;"FOUT",IF(AM14&gt;AN13,3,IF(AM14=AN13,1,0)),0)+IF(AA26&lt;&gt;"FOUT",IF(AO14&gt;AN15,3,IF(AO14=AN15,1,0)),0)</f>
        <v>0</v>
      </c>
      <c r="AQ14" s="258">
        <f>SUM(AL14:AO14)*0</f>
        <v>0</v>
      </c>
      <c r="AR14" s="259">
        <f>SUM(AN12:AN15)*0</f>
        <v>0</v>
      </c>
      <c r="AS14" s="111">
        <f>IF($AP14=$AP12,AL14,0)</f>
        <v>0</v>
      </c>
      <c r="AT14" s="70">
        <f>IF($AP14=$AP13,AM14,0)</f>
        <v>0</v>
      </c>
      <c r="AU14" s="191">
        <v>0</v>
      </c>
      <c r="AV14" s="189">
        <f>IF($AP14=$AP15,AO14,0)</f>
        <v>0</v>
      </c>
      <c r="AW14" s="148">
        <f>IF(AS14&gt;AU12,3,IF(AS14=AU12,1,0))+IF(AT14&gt;AU13,3,IF(AT14=AU13,1,0))+IF(AV14&gt;AU15,3,IF(AV14=AU15,1,0))</f>
        <v>3</v>
      </c>
      <c r="AX14" s="258">
        <f>SUM(AS14:AV14)*0</f>
        <v>0</v>
      </c>
      <c r="AY14" s="252">
        <f>SUM(AU12:AU15)*0</f>
        <v>0</v>
      </c>
      <c r="AZ14" s="196">
        <f ca="1">AP14*10000000000000+AW14*100000000000+(500+AX14-AY14)*100000000+AX14*10000000+(500+AQ14-AR14)*1000+AQ14*10+AI14</f>
        <v>350000500002</v>
      </c>
      <c r="BA14" s="205">
        <f ca="1">RANK(AZ14,AZ12:AZ15)</f>
        <v>3</v>
      </c>
    </row>
    <row r="15" spans="1:59" ht="15" customHeight="1" x14ac:dyDescent="0.25">
      <c r="B15" s="17"/>
      <c r="C15" s="408"/>
      <c r="D15" s="1251"/>
      <c r="E15" s="1251"/>
      <c r="F15" s="1251"/>
      <c r="G15" s="1251"/>
      <c r="H15" s="1251"/>
      <c r="I15" s="1251"/>
      <c r="J15" s="1251"/>
      <c r="K15" s="1251"/>
      <c r="L15" s="1251"/>
      <c r="M15" s="1251"/>
      <c r="N15" s="1251"/>
      <c r="O15" s="1251"/>
      <c r="P15" s="60"/>
      <c r="Q15" s="20"/>
      <c r="R15" s="18" t="s">
        <v>16</v>
      </c>
      <c r="S15" s="1252" t="str">
        <f ca="1">Taal04!B46</f>
        <v>Niet ingevuld</v>
      </c>
      <c r="T15" s="1252"/>
      <c r="U15" s="1252"/>
      <c r="V15" s="1252"/>
      <c r="W15" s="387"/>
      <c r="X15" s="17"/>
      <c r="Y15" s="236"/>
      <c r="Z15" s="236"/>
      <c r="AA15" s="236"/>
      <c r="AB15" s="240"/>
      <c r="AC15" s="240"/>
      <c r="AD15" s="240"/>
      <c r="AE15" s="2"/>
      <c r="AF15" s="910" t="s">
        <v>267</v>
      </c>
      <c r="AG15" s="107" t="str">
        <f t="shared" ca="1" si="0"/>
        <v>FOUT</v>
      </c>
      <c r="AH15" s="247" t="str">
        <f ca="1">RIGHT(AJ10,1)&amp;4</f>
        <v>A4</v>
      </c>
      <c r="AI15" s="158">
        <f ca="1">$AX$83</f>
        <v>4</v>
      </c>
      <c r="AJ15" s="526" t="str">
        <f ca="1">VLOOKUP(AH15,Voorblad!$X$67:$Z$98,2,FALSE)</f>
        <v>Zwitserland</v>
      </c>
      <c r="AK15" s="260" t="str">
        <f ca="1">VLOOKUP(AH15,Voorblad!$X$67:$Z$98,3,FALSE)</f>
        <v>CH</v>
      </c>
      <c r="AL15" s="433">
        <f>IF(ISNUMBER(J29),IF(J29=1,3,IF(J29=3,1,0)),0)</f>
        <v>0</v>
      </c>
      <c r="AM15" s="434">
        <f>IF(ISNUMBER(J28),IF(J28=2,3,IF(J28=3,1,0)),0)</f>
        <v>0</v>
      </c>
      <c r="AN15" s="434">
        <f>IF(ISNUMBER(J26),IF(J26=2,3,IF(J26=3,1,0)),0)</f>
        <v>0</v>
      </c>
      <c r="AO15" s="254">
        <v>0</v>
      </c>
      <c r="AP15" s="145">
        <f>IF(AA29&lt;&gt;"FOUT",IF(AM15&gt;AO13,3,IF(AM15=AO13,1,0)),0)+IF(AA28&lt;&gt;"FOUT",IF(AN15&gt;AO14,3,IF(AN15=AO14,1,0)),0)+IF(AA26&lt;&gt;"FOUT",IF(AL15&gt;AO12,3,IF(AL15=AO12,1,0)),0)</f>
        <v>0</v>
      </c>
      <c r="AQ15" s="261">
        <f>SUM(AL15:AO15)*0</f>
        <v>0</v>
      </c>
      <c r="AR15" s="262">
        <f>SUM(AO12:AO15)*0</f>
        <v>0</v>
      </c>
      <c r="AS15" s="147">
        <f>IF($AP15=$AP12,AL15,0)</f>
        <v>0</v>
      </c>
      <c r="AT15" s="146">
        <f>IF($AP15=$AP13,AM15,0)</f>
        <v>0</v>
      </c>
      <c r="AU15" s="146">
        <f>IF($AP15=$AP14,AN15,0)</f>
        <v>0</v>
      </c>
      <c r="AV15" s="190">
        <v>0</v>
      </c>
      <c r="AW15" s="145">
        <f>IF(AS15&gt;AV12,3,IF(AS15=AV12,1,0))+IF(AT15&gt;AV13,3,IF(AT15=AV13,1,0))+IF(AU15&gt;AV14,3,IF(AU15=AV14,1,0))</f>
        <v>3</v>
      </c>
      <c r="AX15" s="261">
        <f>SUM(AS15:AV15)*0</f>
        <v>0</v>
      </c>
      <c r="AY15" s="253">
        <f>SUM(AV12:AV15)*0</f>
        <v>0</v>
      </c>
      <c r="AZ15" s="197">
        <f ca="1">AP15*10000000000000+AW15*100000000000+(500+AX15-AY15)*100000000+AX15*10000000+(500+AQ15-AR15)*1000+AQ15*10+AI15</f>
        <v>350000500004</v>
      </c>
      <c r="BA15" s="206">
        <f ca="1">RANK(AZ15,AZ12:AZ15)</f>
        <v>1</v>
      </c>
    </row>
    <row r="16" spans="1:59" ht="15" customHeight="1" x14ac:dyDescent="0.25">
      <c r="B16" s="17"/>
      <c r="C16" s="408"/>
      <c r="D16" s="1251"/>
      <c r="E16" s="1251"/>
      <c r="F16" s="1251"/>
      <c r="G16" s="1251"/>
      <c r="H16" s="1251"/>
      <c r="I16" s="1251"/>
      <c r="J16" s="1251"/>
      <c r="K16" s="1251"/>
      <c r="L16" s="1251"/>
      <c r="M16" s="1251"/>
      <c r="N16" s="1251"/>
      <c r="O16" s="1251"/>
      <c r="P16" s="15"/>
      <c r="Q16" s="21"/>
      <c r="R16" s="18" t="s">
        <v>16</v>
      </c>
      <c r="S16" s="1252" t="str">
        <f ca="1">Taal04!B47</f>
        <v>Fout ingevuld</v>
      </c>
      <c r="T16" s="1252"/>
      <c r="U16" s="1252"/>
      <c r="V16" s="1252"/>
      <c r="W16" s="387"/>
      <c r="X16" s="17"/>
      <c r="Y16" s="236"/>
      <c r="Z16" s="236"/>
      <c r="AA16" s="236"/>
      <c r="AB16" s="236"/>
      <c r="AC16" s="241" t="s">
        <v>270</v>
      </c>
      <c r="AD16" s="242" t="str">
        <f ca="1">IF(LEN(SUBSTITUTE(Y11,"FOUT","ONGELDIG"))=AD14,"GOED","FOUT")</f>
        <v>FOUT</v>
      </c>
      <c r="AE16" s="2"/>
      <c r="AF16" s="911" t="s">
        <v>268</v>
      </c>
      <c r="AG16" s="107" t="str">
        <f t="shared" ca="1" si="0"/>
        <v>FOUT</v>
      </c>
      <c r="AH16" s="71"/>
      <c r="AI16" s="71"/>
      <c r="AJ16" s="479" t="s">
        <v>231</v>
      </c>
      <c r="AK16" s="71" t="str">
        <f>IF(COUNTIF(Y25:Y30,"GOED")=6,"JA","NEE")</f>
        <v>NEE</v>
      </c>
      <c r="AL16" s="70"/>
      <c r="AM16" s="70"/>
      <c r="AN16" s="70"/>
      <c r="AO16" s="70"/>
      <c r="AP16" s="70"/>
      <c r="AQ16" s="153"/>
      <c r="AR16" s="153"/>
      <c r="AS16" s="172"/>
      <c r="AT16" s="172"/>
      <c r="AU16" s="172"/>
      <c r="AV16" s="172"/>
      <c r="AW16" s="381"/>
      <c r="AX16" s="172"/>
      <c r="AY16" s="172"/>
      <c r="AZ16" s="172"/>
      <c r="BA16" s="71"/>
    </row>
    <row r="17" spans="1:53" ht="15" customHeight="1" x14ac:dyDescent="0.25">
      <c r="B17" s="17"/>
      <c r="C17" s="388"/>
      <c r="D17" s="57"/>
      <c r="E17" s="57"/>
      <c r="F17" s="57"/>
      <c r="G17" s="57"/>
      <c r="H17" s="57"/>
      <c r="I17" s="57"/>
      <c r="J17" s="57"/>
      <c r="K17" s="57"/>
      <c r="L17" s="57"/>
      <c r="M17" s="57"/>
      <c r="N17" s="57"/>
      <c r="O17" s="57"/>
      <c r="P17" s="57"/>
      <c r="Q17" s="57"/>
      <c r="R17" s="57"/>
      <c r="S17" s="57"/>
      <c r="T17" s="57"/>
      <c r="U17" s="57"/>
      <c r="V17" s="57"/>
      <c r="W17" s="389"/>
      <c r="X17" s="17"/>
      <c r="Y17" s="1232" t="s">
        <v>323</v>
      </c>
      <c r="Z17" s="1232"/>
      <c r="AA17" s="1232"/>
      <c r="AB17" s="1232"/>
      <c r="AC17" s="1232"/>
      <c r="AD17" s="1232"/>
      <c r="AE17" s="2"/>
      <c r="AF17" s="910" t="s">
        <v>266</v>
      </c>
      <c r="AG17" s="107" t="str">
        <f t="shared" ca="1" si="0"/>
        <v>FOUT</v>
      </c>
      <c r="AH17" s="1230"/>
      <c r="AI17" s="1230"/>
      <c r="AJ17" s="479"/>
      <c r="AK17" s="1230" t="s">
        <v>176</v>
      </c>
      <c r="AL17" s="1231" t="str">
        <f ca="1">AJ21</f>
        <v>Spanje</v>
      </c>
      <c r="AM17" s="1231" t="str">
        <f ca="1">AJ22</f>
        <v>Kroatië</v>
      </c>
      <c r="AN17" s="1231" t="str">
        <f ca="1">AJ23</f>
        <v>Italië</v>
      </c>
      <c r="AO17" s="1231" t="str">
        <f ca="1">AJ24</f>
        <v>Albanië</v>
      </c>
      <c r="AP17" s="1230" t="s">
        <v>99</v>
      </c>
      <c r="AQ17" s="1236" t="s">
        <v>175</v>
      </c>
      <c r="AR17" s="1236" t="s">
        <v>174</v>
      </c>
      <c r="AS17" s="1231" t="str">
        <f ca="1">"Gelijk met "&amp;AH21</f>
        <v>Gelijk met B1</v>
      </c>
      <c r="AT17" s="1231" t="str">
        <f ca="1">"Gelijk met "&amp;AH22</f>
        <v>Gelijk met B2</v>
      </c>
      <c r="AU17" s="1231" t="str">
        <f ca="1">"Gelijk met "&amp;AH23</f>
        <v>Gelijk met B3</v>
      </c>
      <c r="AV17" s="1231" t="str">
        <f ca="1">"Gelijk met "&amp;AH24</f>
        <v>Gelijk met B4</v>
      </c>
      <c r="AW17" s="1231" t="s">
        <v>99</v>
      </c>
      <c r="AX17" s="1236" t="s">
        <v>175</v>
      </c>
      <c r="AY17" s="1236" t="s">
        <v>174</v>
      </c>
      <c r="AZ17" s="1230" t="s">
        <v>232</v>
      </c>
      <c r="BA17" s="1230" t="s">
        <v>71</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92"/>
      <c r="Z18" s="293" t="s">
        <v>324</v>
      </c>
      <c r="AA18" s="293" t="s">
        <v>325</v>
      </c>
      <c r="AB18" s="293" t="s">
        <v>326</v>
      </c>
      <c r="AC18" s="293" t="s">
        <v>327</v>
      </c>
      <c r="AD18" s="293" t="s">
        <v>322</v>
      </c>
      <c r="AE18" s="2"/>
      <c r="AF18" s="235">
        <v>10</v>
      </c>
      <c r="AG18" s="107" t="str">
        <f t="shared" ca="1" si="0"/>
        <v>FOUT</v>
      </c>
      <c r="AH18" s="1230"/>
      <c r="AI18" s="1230"/>
      <c r="AJ18" s="479"/>
      <c r="AK18" s="1230"/>
      <c r="AL18" s="1231"/>
      <c r="AM18" s="1231"/>
      <c r="AN18" s="1231"/>
      <c r="AO18" s="1231"/>
      <c r="AP18" s="1230"/>
      <c r="AQ18" s="1236"/>
      <c r="AR18" s="1236"/>
      <c r="AS18" s="1231"/>
      <c r="AT18" s="1231"/>
      <c r="AU18" s="1231"/>
      <c r="AV18" s="1231"/>
      <c r="AW18" s="1231"/>
      <c r="AX18" s="1236"/>
      <c r="AY18" s="1236"/>
      <c r="AZ18" s="1230"/>
      <c r="BA18" s="1230"/>
    </row>
    <row r="19" spans="1:53" ht="15" customHeight="1" x14ac:dyDescent="0.25">
      <c r="B19" s="17"/>
      <c r="C19" s="1075"/>
      <c r="D19" s="1090" t="str">
        <f ca="1">Taal04!$B$49</f>
        <v>De Groepswedstrijden - Groep A t/m F</v>
      </c>
      <c r="E19" s="1077"/>
      <c r="F19" s="1077"/>
      <c r="G19" s="1077"/>
      <c r="H19" s="1077"/>
      <c r="I19" s="1077"/>
      <c r="J19" s="1077"/>
      <c r="K19" s="1077"/>
      <c r="L19" s="1077"/>
      <c r="M19" s="1077"/>
      <c r="N19" s="1077"/>
      <c r="O19" s="1077"/>
      <c r="P19" s="1077"/>
      <c r="Q19" s="1077"/>
      <c r="R19" s="1077"/>
      <c r="S19" s="1077"/>
      <c r="T19" s="1077"/>
      <c r="U19" s="1077"/>
      <c r="V19" s="1077"/>
      <c r="W19" s="1079"/>
      <c r="X19" s="17"/>
      <c r="Y19" s="293" t="s">
        <v>516</v>
      </c>
      <c r="Z19" s="294">
        <f>COUNTIF(J25:L30,1)+COUNTIF(J25:L30,2)+COUNTIF(T25:V30,1)+COUNTIF(T25:V30,2)</f>
        <v>0</v>
      </c>
      <c r="AA19" s="294">
        <f>COUNTIF(J35:L40,1)+COUNTIF(J35:L40,2)+COUNTIF(T35:V40,1)+COUNTIF(T35:V40,2)</f>
        <v>0</v>
      </c>
      <c r="AB19" s="294">
        <f>COUNTIF(J45:L50,1)+COUNTIF(J45:L50,2)+COUNTIF(T45:V50,1)+COUNTIF(T45:V50,2)</f>
        <v>0</v>
      </c>
      <c r="AC19" s="294">
        <f>COUNTIF(J55:L60,1)+COUNTIF(J55:L60,2)+COUNTIF(T55:V60,1)+COUNTIF(T55:V60,2)</f>
        <v>0</v>
      </c>
      <c r="AD19" s="293">
        <f>SUM(Z19:AB19)+IF($A$53="H",0,AC19)</f>
        <v>0</v>
      </c>
      <c r="AE19" s="2"/>
      <c r="AF19" s="910" t="s">
        <v>2487</v>
      </c>
      <c r="AG19" s="107" t="str">
        <f t="shared" ca="1" si="0"/>
        <v>FOUT</v>
      </c>
      <c r="AH19" s="1230"/>
      <c r="AI19" s="1230"/>
      <c r="AJ19" s="480" t="str">
        <f ca="1">N23</f>
        <v>Groep B</v>
      </c>
      <c r="AK19" s="1230"/>
      <c r="AL19" s="1231"/>
      <c r="AM19" s="1231"/>
      <c r="AN19" s="1231"/>
      <c r="AO19" s="1231"/>
      <c r="AP19" s="1230"/>
      <c r="AQ19" s="1236"/>
      <c r="AR19" s="1236"/>
      <c r="AS19" s="1231"/>
      <c r="AT19" s="1231"/>
      <c r="AU19" s="1231"/>
      <c r="AV19" s="1231"/>
      <c r="AW19" s="1231"/>
      <c r="AX19" s="1236"/>
      <c r="AY19" s="1236"/>
      <c r="AZ19" s="1230"/>
      <c r="BA19" s="1230"/>
    </row>
    <row r="20" spans="1:53" ht="15" customHeight="1" x14ac:dyDescent="0.25">
      <c r="B20" s="17"/>
      <c r="C20" s="1047"/>
      <c r="D20" s="16"/>
      <c r="E20" s="16"/>
      <c r="F20" s="16"/>
      <c r="G20" s="16"/>
      <c r="H20" s="16"/>
      <c r="I20" s="16"/>
      <c r="J20" s="16"/>
      <c r="K20" s="16"/>
      <c r="L20" s="16"/>
      <c r="M20" s="16"/>
      <c r="N20" s="16"/>
      <c r="O20" s="16"/>
      <c r="P20" s="16"/>
      <c r="Q20" s="16"/>
      <c r="R20" s="16"/>
      <c r="S20" s="16"/>
      <c r="T20" s="16"/>
      <c r="U20" s="16"/>
      <c r="V20" s="16"/>
      <c r="W20" s="1048"/>
      <c r="X20" s="17"/>
      <c r="Y20" s="293" t="s">
        <v>515</v>
      </c>
      <c r="Z20" s="294">
        <f>COUNTIF(J25:L30,3)+COUNTIF(T25:V30,3)</f>
        <v>0</v>
      </c>
      <c r="AA20" s="293">
        <f>COUNTIF(J35:L40,3)+COUNTIF(T35:V40,3)</f>
        <v>0</v>
      </c>
      <c r="AB20" s="294">
        <f>COUNTIF(J45:L50,3)+COUNTIF(T45:V50,3)</f>
        <v>0</v>
      </c>
      <c r="AC20" s="294">
        <f>COUNTIF(J55:L60,3)+COUNTIF(T55:V60,3)</f>
        <v>0</v>
      </c>
      <c r="AD20" s="293">
        <f>SUM(Z20:AB20)+IF($A$53="H",0,AC20)</f>
        <v>0</v>
      </c>
      <c r="AE20" s="2"/>
      <c r="AF20" s="910" t="s">
        <v>269</v>
      </c>
      <c r="AG20" s="107" t="str">
        <f t="shared" ca="1" si="0"/>
        <v>FOUT</v>
      </c>
      <c r="AH20" s="1230"/>
      <c r="AI20" s="1230"/>
      <c r="AJ20" s="479" t="s">
        <v>17</v>
      </c>
      <c r="AK20" s="1230"/>
      <c r="AL20" s="1231"/>
      <c r="AM20" s="1231"/>
      <c r="AN20" s="1231"/>
      <c r="AO20" s="1231"/>
      <c r="AP20" s="1230"/>
      <c r="AQ20" s="1236"/>
      <c r="AR20" s="1236"/>
      <c r="AS20" s="1231"/>
      <c r="AT20" s="1231"/>
      <c r="AU20" s="1231"/>
      <c r="AV20" s="1231"/>
      <c r="AW20" s="1231"/>
      <c r="AX20" s="1236"/>
      <c r="AY20" s="1236"/>
      <c r="AZ20" s="1230"/>
      <c r="BA20" s="1230"/>
    </row>
    <row r="21" spans="1:53" s="156" customFormat="1" ht="15" customHeight="1" x14ac:dyDescent="0.4">
      <c r="A21" s="44"/>
      <c r="B21" s="17"/>
      <c r="C21" s="1049"/>
      <c r="D21" s="351" t="str">
        <f ca="1">IF($AD$21=1,Taal04!$B$51,Voorblad!C15)</f>
        <v>Voorspel welk team de wedstrijd wint of een gelijkspel en vul dit in op dit blad.</v>
      </c>
      <c r="E21" s="17"/>
      <c r="F21" s="17"/>
      <c r="G21" s="17"/>
      <c r="H21" s="17"/>
      <c r="I21" s="17"/>
      <c r="J21" s="17"/>
      <c r="K21" s="17"/>
      <c r="L21" s="17"/>
      <c r="M21" s="17"/>
      <c r="N21" s="17"/>
      <c r="O21" s="17"/>
      <c r="P21" s="17"/>
      <c r="Q21" s="17"/>
      <c r="R21" s="17"/>
      <c r="S21" s="17"/>
      <c r="T21" s="17"/>
      <c r="U21" s="17"/>
      <c r="V21" s="17"/>
      <c r="W21" s="61"/>
      <c r="X21" s="17"/>
      <c r="Y21" s="350"/>
      <c r="Z21" s="350"/>
      <c r="AA21" s="350"/>
      <c r="AB21" s="350"/>
      <c r="AC21" s="352" t="s">
        <v>303</v>
      </c>
      <c r="AD21" s="110">
        <f>Reglement!Q81</f>
        <v>1</v>
      </c>
      <c r="AE21" s="2"/>
      <c r="AF21" s="107">
        <v>11</v>
      </c>
      <c r="AG21" s="107" t="str">
        <f t="shared" ca="1" si="0"/>
        <v>FOUT</v>
      </c>
      <c r="AH21" s="247" t="str">
        <f ca="1">RIGHT(AJ19,1)&amp;1</f>
        <v>B1</v>
      </c>
      <c r="AI21" s="158">
        <f ca="1">$AU$84</f>
        <v>4</v>
      </c>
      <c r="AJ21" s="524" t="str">
        <f ca="1">VLOOKUP(AH21,Voorblad!$X$67:$Z$98,2,FALSE)</f>
        <v>Spanje</v>
      </c>
      <c r="AK21" s="248" t="str">
        <f ca="1">VLOOKUP(AH21,Voorblad!$X$67:$Z$98,3,FALSE)</f>
        <v>ES</v>
      </c>
      <c r="AL21" s="249">
        <v>0</v>
      </c>
      <c r="AM21" s="437">
        <f>IF(ISNUMBER(T25),IF(T25=1,3,IF(T25=3,1,0)),0)</f>
        <v>0</v>
      </c>
      <c r="AN21" s="437">
        <f>IF(ISNUMBER(T28),IF(T28=1,3,IF(T28=3,1,0)),0)</f>
        <v>0</v>
      </c>
      <c r="AO21" s="437">
        <f>IF(ISNUMBER(T29),IF(T29=2,3,IF(T29=3,1,0)),0)</f>
        <v>0</v>
      </c>
      <c r="AP21" s="149">
        <f>IF(AD25&lt;&gt;"FOUT",IF(AM21&gt;AL22,3,IF(AM21=AL22,1,0)),0)+IF(AD28&lt;&gt;"FOUT",IF(AN21&gt;AL23,3,IF(AN21=AL23,1,0)),0)+IF(AD29&lt;&gt;"FOUT",IF(AO21&gt;AL24,3,IF(AO21=AL24,1,0)),0)</f>
        <v>0</v>
      </c>
      <c r="AQ21" s="255">
        <f>SUM(AL21:AO21)*0</f>
        <v>0</v>
      </c>
      <c r="AR21" s="256">
        <f>SUM(AL21:AL24)*0</f>
        <v>0</v>
      </c>
      <c r="AS21" s="192">
        <v>0</v>
      </c>
      <c r="AT21" s="150">
        <f>IF($AP21=$AP22,AM21,0)</f>
        <v>0</v>
      </c>
      <c r="AU21" s="150">
        <f>IF($AP21=$AP23,AN21,0)</f>
        <v>0</v>
      </c>
      <c r="AV21" s="188">
        <f>IF($AP21=$AP24,AO21,0)</f>
        <v>0</v>
      </c>
      <c r="AW21" s="149">
        <f>IF(AT21&gt;AS22,3,IF(AT21=AS22,1,0))+IF(AU21&gt;AS23,3,IF(AU21=AS23,1,0))+IF(AV21&gt;AS24,3,IF(AV21=AS24,1,0))</f>
        <v>3</v>
      </c>
      <c r="AX21" s="255">
        <f>SUM(AS21:AV21)*0</f>
        <v>0</v>
      </c>
      <c r="AY21" s="250">
        <f>SUM(AS21:AS24)*0</f>
        <v>0</v>
      </c>
      <c r="AZ21" s="195">
        <f ca="1">AP21*10000000000000+(500+AQ21-AR21)*10000000000+AQ21*100000000+AW21*1000000+(500+AX21-AY21)*1000+AX21*10+AI21</f>
        <v>5000003500004</v>
      </c>
      <c r="BA21" s="198">
        <f ca="1">RANK(AZ21,AZ21:AZ24)</f>
        <v>1</v>
      </c>
    </row>
    <row r="22" spans="1:53" s="156" customFormat="1" ht="15" customHeight="1" x14ac:dyDescent="0.25">
      <c r="B22" s="17"/>
      <c r="C22" s="1049"/>
      <c r="D22" s="181"/>
      <c r="E22" s="17"/>
      <c r="F22" s="17"/>
      <c r="G22" s="17"/>
      <c r="H22" s="17"/>
      <c r="I22" s="17"/>
      <c r="J22" s="17"/>
      <c r="K22" s="17"/>
      <c r="L22" s="17"/>
      <c r="M22" s="17"/>
      <c r="N22" s="17"/>
      <c r="O22" s="17"/>
      <c r="P22" s="17"/>
      <c r="Q22" s="17"/>
      <c r="R22" s="17"/>
      <c r="S22" s="17"/>
      <c r="T22" s="17"/>
      <c r="U22" s="17"/>
      <c r="V22" s="160" t="str">
        <f ca="1">Taal04!$B$25</f>
        <v>Alle tijden zijn Midden-Europese Tijd (UCT+1)</v>
      </c>
      <c r="W22" s="61"/>
      <c r="X22" s="17"/>
      <c r="Y22" s="4"/>
      <c r="Z22" s="4"/>
      <c r="AA22" s="4"/>
      <c r="AB22" s="4"/>
      <c r="AC22" s="4"/>
      <c r="AD22" s="1"/>
      <c r="AE22" s="2"/>
      <c r="AF22" s="235">
        <v>12</v>
      </c>
      <c r="AG22" s="107" t="str">
        <f t="shared" ca="1" si="0"/>
        <v>FOUT</v>
      </c>
      <c r="AH22" s="247" t="str">
        <f ca="1">RIGHT(AJ19,1)&amp;2</f>
        <v>B2</v>
      </c>
      <c r="AI22" s="158">
        <f ca="1">$AV$84</f>
        <v>3</v>
      </c>
      <c r="AJ22" s="525" t="str">
        <f ca="1">VLOOKUP(AH22,Voorblad!$X$67:$Z$98,2,FALSE)</f>
        <v>Kroatië</v>
      </c>
      <c r="AK22" s="257" t="str">
        <f ca="1">VLOOKUP(AH22,Voorblad!$X$67:$Z$98,3,FALSE)</f>
        <v>HR</v>
      </c>
      <c r="AL22" s="435">
        <f>IF(ISNUMBER(T25),IF(T25=2,3,IF(T25=3,1,0)),0)</f>
        <v>0</v>
      </c>
      <c r="AM22" s="251">
        <v>0</v>
      </c>
      <c r="AN22" s="436">
        <f>IF(ISNUMBER(T30),IF(T30=1,3,IF(T30=3,1,0)),0)</f>
        <v>0</v>
      </c>
      <c r="AO22" s="436">
        <f>IF(ISNUMBER(T27),IF(T27=1,3,IF(T27=3,1,0)),0)</f>
        <v>0</v>
      </c>
      <c r="AP22" s="148">
        <f>IF(AD25&lt;&gt;"FOUT",IF(AL22&gt;AM21,3,IF(AL22=AM21,1,0)),0)+IF(AD30&lt;&gt;"FOUT",IF(AN22&gt;AM23,3,IF(AN22=AM23,1,0)),0)+IF(AD27&lt;&gt;"FOUT",IF(AO22&gt;AM24,3,IF(AO22=AM24,1,0)),0)</f>
        <v>0</v>
      </c>
      <c r="AQ22" s="258">
        <f>SUM(AL22:AO22)*0</f>
        <v>0</v>
      </c>
      <c r="AR22" s="259">
        <f>SUM(AM21:AM24)*0</f>
        <v>0</v>
      </c>
      <c r="AS22" s="111">
        <f>IF($AP22=$AP21,AL22,0)</f>
        <v>0</v>
      </c>
      <c r="AT22" s="191">
        <v>0</v>
      </c>
      <c r="AU22" s="70">
        <f>IF($AP22=$AP23,AN22,0)</f>
        <v>0</v>
      </c>
      <c r="AV22" s="189">
        <f>IF($AP22=$AP24,AO22,0)</f>
        <v>0</v>
      </c>
      <c r="AW22" s="148">
        <f>IF(AS22&gt;AT21,3,IF(AS22=AT21,1,0))+IF(AU22&gt;AT23,3,IF(AU22=AT23,1,0))+IF(AV22&gt;AT24,3,IF(AV22=AT24,1,0))</f>
        <v>3</v>
      </c>
      <c r="AX22" s="258">
        <f>SUM(AS22:AV22)*0</f>
        <v>0</v>
      </c>
      <c r="AY22" s="252">
        <f>SUM(AT21:AT24)*0</f>
        <v>0</v>
      </c>
      <c r="AZ22" s="196">
        <f ca="1">AP22*10000000000000+(500+AQ22-AR22)*10000000000+AQ22*100000000+AW22*1000000+(500+AX22-AY22)*1000+AX22*10+AI22</f>
        <v>5000003500003</v>
      </c>
      <c r="BA22" s="199">
        <f ca="1">RANK(AZ22,AZ21:AZ24)</f>
        <v>2</v>
      </c>
    </row>
    <row r="23" spans="1:53" s="156" customFormat="1" ht="20.100000000000001" customHeight="1" x14ac:dyDescent="0.4">
      <c r="B23" s="17"/>
      <c r="C23" s="1049"/>
      <c r="D23" s="908" t="str">
        <f ca="1">Taal04!$B$26&amp;" A"</f>
        <v>Groep A</v>
      </c>
      <c r="E23" s="17"/>
      <c r="F23" s="17"/>
      <c r="G23" s="17"/>
      <c r="H23" s="17"/>
      <c r="I23" s="17"/>
      <c r="J23" s="17"/>
      <c r="K23" s="17"/>
      <c r="L23" s="17"/>
      <c r="M23" s="17"/>
      <c r="N23" s="908" t="str">
        <f ca="1">Taal04!$B$26&amp;" B"</f>
        <v>Groep B</v>
      </c>
      <c r="O23" s="17"/>
      <c r="P23" s="17"/>
      <c r="Q23" s="17"/>
      <c r="R23" s="17"/>
      <c r="S23" s="17"/>
      <c r="T23" s="17"/>
      <c r="U23" s="17"/>
      <c r="V23" s="17"/>
      <c r="W23" s="61"/>
      <c r="X23" s="17"/>
      <c r="Y23" s="1233" t="str">
        <f ca="1">"Controle "&amp;D23</f>
        <v>Controle Groep A</v>
      </c>
      <c r="Z23" s="1233"/>
      <c r="AA23" s="1233"/>
      <c r="AB23" s="1233" t="str">
        <f ca="1">"Controle "&amp;N23</f>
        <v>Controle Groep B</v>
      </c>
      <c r="AC23" s="1233"/>
      <c r="AD23" s="1233"/>
      <c r="AE23" s="2"/>
      <c r="AF23" s="235">
        <v>15</v>
      </c>
      <c r="AG23" s="107" t="str">
        <f ca="1">IF(TYPE(VLOOKUP(AF23,$D$25:$D$60,1,FALSE)*1)=1,VLOOKUP(AF23,$D$25:$AA$60,24,FALSE),IF(TYPE(VLOOKUP(AF23,$N$25:$N$60,1,FALSE)*1)=1,VLOOKUP(AF23,$N$25:$AD$60,17,FALSE),"ERROR"))</f>
        <v>FOUT</v>
      </c>
      <c r="AH23" s="247" t="str">
        <f ca="1">RIGHT(AJ19,1)&amp;3</f>
        <v>B3</v>
      </c>
      <c r="AI23" s="158">
        <f ca="1">$AW$84</f>
        <v>2</v>
      </c>
      <c r="AJ23" s="525" t="str">
        <f ca="1">VLOOKUP(AH23,Voorblad!$X$67:$Z$98,2,FALSE)</f>
        <v>Italië</v>
      </c>
      <c r="AK23" s="257" t="str">
        <f ca="1">VLOOKUP(AH23,Voorblad!$X$67:$Z$98,3,FALSE)</f>
        <v>IT</v>
      </c>
      <c r="AL23" s="435">
        <f>IF(ISNUMBER(T28),IF(T28=2,3,IF(T28=3,1,0)),0)</f>
        <v>0</v>
      </c>
      <c r="AM23" s="436">
        <f>IF(ISNUMBER(T30),IF(T30=2,3,IF(T30=3,1,0)),0)</f>
        <v>0</v>
      </c>
      <c r="AN23" s="251">
        <v>0</v>
      </c>
      <c r="AO23" s="436">
        <f>IF(ISNUMBER(T26),IF(T26=1,3,IF(T26=3,1,0)),0)</f>
        <v>0</v>
      </c>
      <c r="AP23" s="148">
        <f>IF(AD28&lt;&gt;"FOUT",IF(AL23&gt;AN21,3,IF(AL23=AN21,1,0)),0)+IF(AD30&lt;&gt;"FOUT",IF(AM23&gt;AN22,3,IF(AM23=AN22,1,0)),0)+IF(AD26&lt;&gt;"FOUT",IF(AO23&gt;AN24,3,IF(AO23=AN24,1,0)),0)</f>
        <v>0</v>
      </c>
      <c r="AQ23" s="258">
        <f>SUM(AL23:AO23)*0</f>
        <v>0</v>
      </c>
      <c r="AR23" s="259">
        <f>SUM(AN21:AN24)*0</f>
        <v>0</v>
      </c>
      <c r="AS23" s="111">
        <f>IF($AP23=$AP21,AL23,0)</f>
        <v>0</v>
      </c>
      <c r="AT23" s="70">
        <f>IF($AP23=$AP22,AM23,0)</f>
        <v>0</v>
      </c>
      <c r="AU23" s="191">
        <v>0</v>
      </c>
      <c r="AV23" s="189">
        <f>IF($AP23=$AP24,AO23,0)</f>
        <v>0</v>
      </c>
      <c r="AW23" s="148">
        <f>IF(AS23&gt;AU21,3,IF(AS23=AU21,1,0))+IF(AT23&gt;AU22,3,IF(AT23=AU22,1,0))+IF(AV23&gt;AU24,3,IF(AV23=AU24,1,0))</f>
        <v>3</v>
      </c>
      <c r="AX23" s="258">
        <f>SUM(AS23:AV23)*0</f>
        <v>0</v>
      </c>
      <c r="AY23" s="252">
        <f>SUM(AU21:AU24)*0</f>
        <v>0</v>
      </c>
      <c r="AZ23" s="196">
        <f ca="1">AP23*10000000000000+(500+AQ23-AR23)*10000000000+AQ23*100000000+AW23*1000000+(500+AX23-AY23)*1000+AX23*10+AI23</f>
        <v>5000003500002</v>
      </c>
      <c r="BA23" s="199">
        <f ca="1">RANK(AZ23,AZ21:AZ24)</f>
        <v>3</v>
      </c>
    </row>
    <row r="24" spans="1:53" s="156" customFormat="1" ht="15" customHeight="1" x14ac:dyDescent="0.25">
      <c r="B24" s="17"/>
      <c r="C24" s="1049"/>
      <c r="D24" s="108"/>
      <c r="E24" s="1038" t="str">
        <f ca="1">Taal04!$B$20</f>
        <v>Datum</v>
      </c>
      <c r="F24" s="1038" t="str">
        <f ca="1">Taal04!$B$21</f>
        <v>Tijd</v>
      </c>
      <c r="G24" s="1234" t="str">
        <f ca="1">Taal04!$B$22</f>
        <v>Wedstrijd</v>
      </c>
      <c r="H24" s="1234"/>
      <c r="I24" s="1234"/>
      <c r="J24" s="1234" t="str">
        <f ca="1">Taal04!$B$23</f>
        <v>TOTO</v>
      </c>
      <c r="K24" s="1235"/>
      <c r="L24" s="1235"/>
      <c r="M24" s="17"/>
      <c r="N24" s="108"/>
      <c r="O24" s="1038" t="str">
        <f ca="1">Taal04!$B$20</f>
        <v>Datum</v>
      </c>
      <c r="P24" s="1038" t="str">
        <f ca="1">Taal04!$B$21</f>
        <v>Tijd</v>
      </c>
      <c r="Q24" s="1234" t="str">
        <f ca="1">Taal04!$B$22</f>
        <v>Wedstrijd</v>
      </c>
      <c r="R24" s="1234"/>
      <c r="S24" s="1234"/>
      <c r="T24" s="1234" t="str">
        <f ca="1">Taal04!$B$23</f>
        <v>TOTO</v>
      </c>
      <c r="U24" s="1235"/>
      <c r="V24" s="1235"/>
      <c r="W24" s="61"/>
      <c r="X24" s="17"/>
      <c r="Y24" s="4" t="s">
        <v>234</v>
      </c>
      <c r="Z24" s="4"/>
      <c r="AA24" s="139" t="s">
        <v>0</v>
      </c>
      <c r="AB24" s="4" t="s">
        <v>234</v>
      </c>
      <c r="AC24" s="4"/>
      <c r="AD24" s="139" t="s">
        <v>0</v>
      </c>
      <c r="AE24" s="2"/>
      <c r="AF24" s="235">
        <v>14</v>
      </c>
      <c r="AG24" s="107" t="str">
        <f t="shared" si="0"/>
        <v>FOUT</v>
      </c>
      <c r="AH24" s="247" t="str">
        <f ca="1">RIGHT(AJ19,1)&amp;4</f>
        <v>B4</v>
      </c>
      <c r="AI24" s="158">
        <f ca="1">$AX$84</f>
        <v>1</v>
      </c>
      <c r="AJ24" s="526" t="str">
        <f ca="1">VLOOKUP(AH24,Voorblad!$X$67:$Z$98,2,FALSE)</f>
        <v>Albanië</v>
      </c>
      <c r="AK24" s="260" t="str">
        <f ca="1">VLOOKUP(AH24,Voorblad!$X$67:$Z$98,3,FALSE)</f>
        <v>AL</v>
      </c>
      <c r="AL24" s="433">
        <f>IF(ISNUMBER(T29),IF(T29=1,3,IF(T29=3,1,0)),0)</f>
        <v>0</v>
      </c>
      <c r="AM24" s="434">
        <f>IF(ISNUMBER(T27),IF(T27=2,3,IF(T27=3,1,0)),0)</f>
        <v>0</v>
      </c>
      <c r="AN24" s="434">
        <f>IF(ISNUMBER(T26),IF(T26=2,3,IF(T26=3,1,0)),0)</f>
        <v>0</v>
      </c>
      <c r="AO24" s="254">
        <v>0</v>
      </c>
      <c r="AP24" s="463">
        <f>IF(AD29&lt;&gt;"FOUT",IF(AL24&gt;AO21,3,IF(AL24=AO21,1,0)),0)+IF(AD27&lt;&gt;"FOUT",IF(AM24&gt;AO22,3,IF(AM24=AO22,1,0)),0)+IF(AD26&lt;&gt;"FOUT",IF(AN24&gt;AO23,3,IF(AN24=AO23,1,0)),0)</f>
        <v>0</v>
      </c>
      <c r="AQ24" s="261">
        <f>SUM(AL24:AO24)*0</f>
        <v>0</v>
      </c>
      <c r="AR24" s="262">
        <f>SUM(AO21:AO24)*0</f>
        <v>0</v>
      </c>
      <c r="AS24" s="147">
        <f>IF($AP24=$AP21,AL24,0)</f>
        <v>0</v>
      </c>
      <c r="AT24" s="146">
        <f>IF($AP24=$AP22,AM24,0)</f>
        <v>0</v>
      </c>
      <c r="AU24" s="146">
        <f>IF($AP24=$AP23,AN24,0)</f>
        <v>0</v>
      </c>
      <c r="AV24" s="190">
        <v>0</v>
      </c>
      <c r="AW24" s="145">
        <f>IF(AS24&gt;AV21,3,IF(AS24=AV21,1,0))+IF(AT24&gt;AV22,3,IF(AT24=AV22,1,0))+IF(AU24&gt;AV23,3,IF(AU24=AV23,1,0))</f>
        <v>3</v>
      </c>
      <c r="AX24" s="261">
        <f>SUM(AS24:AV24)*0</f>
        <v>0</v>
      </c>
      <c r="AY24" s="253">
        <f>SUM(AV21:AV24)*0</f>
        <v>0</v>
      </c>
      <c r="AZ24" s="197">
        <f ca="1">AP24*10000000000000+(500+AQ24-AR24)*10000000000+AQ24*100000000+AW24*1000000+(500+AX24-AY24)*1000+AX24*10+AI24</f>
        <v>5000003500001</v>
      </c>
      <c r="BA24" s="200">
        <f ca="1">RANK(AZ24,AZ21:AZ24)</f>
        <v>4</v>
      </c>
    </row>
    <row r="25" spans="1:53" ht="15" customHeight="1" x14ac:dyDescent="0.25">
      <c r="A25" s="156"/>
      <c r="B25" s="17"/>
      <c r="C25" s="1049"/>
      <c r="D25" s="6" t="str">
        <f>"01"</f>
        <v>01</v>
      </c>
      <c r="E25" s="11">
        <f>DATE(2024,6,14)+TIME(21,0,0)</f>
        <v>45457.875</v>
      </c>
      <c r="F25" s="135">
        <f t="shared" ref="F25:F30" si="1">E25+TIME(0,0,0)</f>
        <v>45457.875</v>
      </c>
      <c r="G25" s="8" t="str">
        <f ca="1">AJ12</f>
        <v>Duitsland</v>
      </c>
      <c r="H25" s="7" t="s">
        <v>12</v>
      </c>
      <c r="I25" s="346" t="str">
        <f ca="1">AJ13</f>
        <v>Schotland</v>
      </c>
      <c r="J25" s="1256"/>
      <c r="K25" s="1256"/>
      <c r="L25" s="1256"/>
      <c r="M25" s="9"/>
      <c r="N25" s="6" t="str">
        <f>"03"</f>
        <v>03</v>
      </c>
      <c r="O25" s="11">
        <f>DATE(2024,6,15)+TIME(18,0,0)</f>
        <v>45458.75</v>
      </c>
      <c r="P25" s="135">
        <f t="shared" ref="P25:P30" si="2">O25+TIME(0,0,0)</f>
        <v>45458.75</v>
      </c>
      <c r="Q25" s="8" t="str">
        <f ca="1">AJ21</f>
        <v>Spanje</v>
      </c>
      <c r="R25" s="7" t="s">
        <v>12</v>
      </c>
      <c r="S25" s="346" t="str">
        <f ca="1">AJ22</f>
        <v>Kroatië</v>
      </c>
      <c r="T25" s="1256"/>
      <c r="U25" s="1256"/>
      <c r="V25" s="1256"/>
      <c r="W25" s="61"/>
      <c r="X25" s="17"/>
      <c r="Y25" s="4" t="str">
        <f t="shared" ref="Y25:Y30" si="3">IF(ISBLANK(J25),"LEEG",IF(OR(J25=1,J25=2,J25=3),"GOED","ONGELDIG"))</f>
        <v>LEEG</v>
      </c>
      <c r="Z25" s="4"/>
      <c r="AA25" s="139" t="str">
        <f t="shared" ref="AA25:AA30" si="4">IF(Y25="GOED",J25&amp;"|","FOUT")</f>
        <v>FOUT</v>
      </c>
      <c r="AB25" s="4" t="str">
        <f t="shared" ref="AB25:AB30" si="5">IF(ISBLANK(T25),"LEEG",IF(OR(T25=1,T25=2,T25=3),"GOED","ONGELDIG"))</f>
        <v>LEEG</v>
      </c>
      <c r="AC25" s="4"/>
      <c r="AD25" s="139" t="str">
        <f t="shared" ref="AD25:AD30" si="6">IF(AB25="GOED",T25&amp;"|","FOUT")</f>
        <v>FOUT</v>
      </c>
      <c r="AE25" s="2"/>
      <c r="AF25" s="235">
        <v>13</v>
      </c>
      <c r="AG25" s="107" t="str">
        <f t="shared" si="0"/>
        <v>FOUT</v>
      </c>
      <c r="AH25" s="71"/>
      <c r="AI25" s="71"/>
      <c r="AJ25" s="479" t="s">
        <v>231</v>
      </c>
      <c r="AK25" s="71" t="str">
        <f>IF(COUNTIF(AB25:AB30,"GOED")=6,"JA","NEE")</f>
        <v>NEE</v>
      </c>
      <c r="AL25" s="70"/>
      <c r="AM25" s="70"/>
      <c r="AN25" s="70"/>
      <c r="AO25" s="70"/>
      <c r="AP25" s="70"/>
      <c r="AQ25" s="153"/>
      <c r="AR25" s="153"/>
      <c r="AS25" s="172"/>
      <c r="AT25" s="172"/>
      <c r="AU25" s="172"/>
      <c r="AV25" s="172"/>
      <c r="AW25" s="381"/>
      <c r="AX25" s="172"/>
      <c r="AY25" s="172"/>
      <c r="AZ25" s="172"/>
      <c r="BA25" s="71"/>
    </row>
    <row r="26" spans="1:53" ht="15" customHeight="1" x14ac:dyDescent="0.25">
      <c r="B26" s="17"/>
      <c r="C26" s="1049"/>
      <c r="D26" s="6" t="str">
        <f>"02"</f>
        <v>02</v>
      </c>
      <c r="E26" s="11">
        <f>DATE(2024,6,15)+TIME(15,0,0)</f>
        <v>45458.625</v>
      </c>
      <c r="F26" s="135">
        <f t="shared" si="1"/>
        <v>45458.625</v>
      </c>
      <c r="G26" s="8" t="str">
        <f ca="1">AJ14</f>
        <v>Hongarije</v>
      </c>
      <c r="H26" s="7" t="s">
        <v>12</v>
      </c>
      <c r="I26" s="346" t="str">
        <f ca="1">AJ15</f>
        <v>Zwitserland</v>
      </c>
      <c r="J26" s="1256"/>
      <c r="K26" s="1256"/>
      <c r="L26" s="1256"/>
      <c r="M26" s="9"/>
      <c r="N26" s="6" t="str">
        <f>"04"</f>
        <v>04</v>
      </c>
      <c r="O26" s="11">
        <f>DATE(2024,6,15)+TIME(21,0,0)</f>
        <v>45458.875</v>
      </c>
      <c r="P26" s="135">
        <f t="shared" si="2"/>
        <v>45458.875</v>
      </c>
      <c r="Q26" s="8" t="str">
        <f ca="1">AJ23</f>
        <v>Italië</v>
      </c>
      <c r="R26" s="7" t="s">
        <v>12</v>
      </c>
      <c r="S26" s="346" t="str">
        <f ca="1">AJ24</f>
        <v>Albanië</v>
      </c>
      <c r="T26" s="1256"/>
      <c r="U26" s="1256"/>
      <c r="V26" s="1256"/>
      <c r="W26" s="61"/>
      <c r="X26" s="17"/>
      <c r="Y26" s="4" t="str">
        <f t="shared" si="3"/>
        <v>LEEG</v>
      </c>
      <c r="Z26" s="4"/>
      <c r="AA26" s="139" t="str">
        <f t="shared" si="4"/>
        <v>FOUT</v>
      </c>
      <c r="AB26" s="4" t="str">
        <f t="shared" si="5"/>
        <v>LEEG</v>
      </c>
      <c r="AC26" s="4"/>
      <c r="AD26" s="139" t="str">
        <f t="shared" si="6"/>
        <v>FOUT</v>
      </c>
      <c r="AE26" s="2"/>
      <c r="AF26" s="235">
        <v>18</v>
      </c>
      <c r="AG26" s="107" t="str">
        <f t="shared" ca="1" si="0"/>
        <v>FOUT</v>
      </c>
      <c r="AH26" s="1230"/>
      <c r="AI26" s="1230"/>
      <c r="AJ26" s="479"/>
      <c r="AK26" s="1230" t="s">
        <v>176</v>
      </c>
      <c r="AL26" s="1231" t="str">
        <f ca="1">AJ30</f>
        <v>Slovenië</v>
      </c>
      <c r="AM26" s="1231" t="str">
        <f ca="1">AJ31</f>
        <v>Denemarken</v>
      </c>
      <c r="AN26" s="1231" t="str">
        <f ca="1">AJ32</f>
        <v>Servië</v>
      </c>
      <c r="AO26" s="1231" t="str">
        <f ca="1">AJ33</f>
        <v>Engeland</v>
      </c>
      <c r="AP26" s="1230" t="s">
        <v>99</v>
      </c>
      <c r="AQ26" s="1236" t="s">
        <v>175</v>
      </c>
      <c r="AR26" s="1236" t="s">
        <v>174</v>
      </c>
      <c r="AS26" s="1231" t="str">
        <f ca="1">"Gelijk met "&amp;AH30</f>
        <v>Gelijk met C1</v>
      </c>
      <c r="AT26" s="1231" t="str">
        <f ca="1">"Gelijk met "&amp;AH31</f>
        <v>Gelijk met C2</v>
      </c>
      <c r="AU26" s="1231" t="str">
        <f ca="1">"Gelijk met "&amp;AH32</f>
        <v>Gelijk met C3</v>
      </c>
      <c r="AV26" s="1231" t="str">
        <f ca="1">"Gelijk met "&amp;AH33</f>
        <v>Gelijk met C4</v>
      </c>
      <c r="AW26" s="1231" t="s">
        <v>99</v>
      </c>
      <c r="AX26" s="1236" t="s">
        <v>175</v>
      </c>
      <c r="AY26" s="1236" t="s">
        <v>174</v>
      </c>
      <c r="AZ26" s="1230" t="s">
        <v>232</v>
      </c>
      <c r="BA26" s="1230" t="s">
        <v>71</v>
      </c>
    </row>
    <row r="27" spans="1:53" ht="15" customHeight="1" x14ac:dyDescent="0.25">
      <c r="B27" s="17"/>
      <c r="C27" s="1049"/>
      <c r="D27" s="6">
        <v>14</v>
      </c>
      <c r="E27" s="11">
        <f>DATE(2024,6,19)+TIME(18,0,0)</f>
        <v>45462.75</v>
      </c>
      <c r="F27" s="135">
        <f t="shared" si="1"/>
        <v>45462.75</v>
      </c>
      <c r="G27" s="8" t="str">
        <f ca="1">AJ12</f>
        <v>Duitsland</v>
      </c>
      <c r="H27" s="7" t="s">
        <v>12</v>
      </c>
      <c r="I27" s="346" t="str">
        <f ca="1">AJ14</f>
        <v>Hongarije</v>
      </c>
      <c r="J27" s="1256"/>
      <c r="K27" s="1256"/>
      <c r="L27" s="1256"/>
      <c r="M27" s="9"/>
      <c r="N27" s="6">
        <v>15</v>
      </c>
      <c r="O27" s="11">
        <f>DATE(2024,6,19)+TIME(15,0,0)</f>
        <v>45462.625</v>
      </c>
      <c r="P27" s="135">
        <f t="shared" si="2"/>
        <v>45462.625</v>
      </c>
      <c r="Q27" s="8" t="str">
        <f ca="1">AJ22</f>
        <v>Kroatië</v>
      </c>
      <c r="R27" s="7" t="s">
        <v>12</v>
      </c>
      <c r="S27" s="346" t="str">
        <f ca="1">AJ24</f>
        <v>Albanië</v>
      </c>
      <c r="T27" s="1256"/>
      <c r="U27" s="1256"/>
      <c r="V27" s="1256"/>
      <c r="W27" s="61"/>
      <c r="X27" s="17"/>
      <c r="Y27" s="4" t="str">
        <f t="shared" si="3"/>
        <v>LEEG</v>
      </c>
      <c r="Z27" s="4"/>
      <c r="AA27" s="139" t="str">
        <f t="shared" si="4"/>
        <v>FOUT</v>
      </c>
      <c r="AB27" s="4" t="str">
        <f>IF(ISBLANK(T27),"LEEG",IF(OR(T27=1,T27=2,T27=3),"GOED","ONGELDIG"))</f>
        <v>LEEG</v>
      </c>
      <c r="AC27" s="4"/>
      <c r="AD27" s="139" t="str">
        <f>IF(AB27="GOED",T27&amp;"|","FOUT")</f>
        <v>FOUT</v>
      </c>
      <c r="AE27" s="41"/>
      <c r="AF27" s="235">
        <v>17</v>
      </c>
      <c r="AG27" s="107" t="str">
        <f t="shared" ca="1" si="0"/>
        <v>FOUT</v>
      </c>
      <c r="AH27" s="1230"/>
      <c r="AI27" s="1230"/>
      <c r="AJ27" s="479"/>
      <c r="AK27" s="1230"/>
      <c r="AL27" s="1231"/>
      <c r="AM27" s="1231"/>
      <c r="AN27" s="1231"/>
      <c r="AO27" s="1231"/>
      <c r="AP27" s="1230"/>
      <c r="AQ27" s="1236"/>
      <c r="AR27" s="1236"/>
      <c r="AS27" s="1231"/>
      <c r="AT27" s="1231"/>
      <c r="AU27" s="1231"/>
      <c r="AV27" s="1231"/>
      <c r="AW27" s="1231"/>
      <c r="AX27" s="1236"/>
      <c r="AY27" s="1236"/>
      <c r="AZ27" s="1230"/>
      <c r="BA27" s="1230"/>
    </row>
    <row r="28" spans="1:53" ht="15" customHeight="1" x14ac:dyDescent="0.25">
      <c r="B28" s="17"/>
      <c r="C28" s="1049"/>
      <c r="D28" s="6">
        <v>13</v>
      </c>
      <c r="E28" s="11">
        <f>DATE(2024,6,19)+TIME(21,0,0)</f>
        <v>45462.875</v>
      </c>
      <c r="F28" s="135">
        <f t="shared" si="1"/>
        <v>45462.875</v>
      </c>
      <c r="G28" s="8" t="str">
        <f ca="1">AJ13</f>
        <v>Schotland</v>
      </c>
      <c r="H28" s="7" t="s">
        <v>12</v>
      </c>
      <c r="I28" s="346" t="str">
        <f ca="1">AJ15</f>
        <v>Zwitserland</v>
      </c>
      <c r="J28" s="1256"/>
      <c r="K28" s="1256"/>
      <c r="L28" s="1256"/>
      <c r="M28" s="9"/>
      <c r="N28" s="6">
        <v>16</v>
      </c>
      <c r="O28" s="11">
        <f>DATE(2024,6,20)+TIME(21,0,0)</f>
        <v>45463.875</v>
      </c>
      <c r="P28" s="135">
        <f t="shared" si="2"/>
        <v>45463.875</v>
      </c>
      <c r="Q28" s="8" t="str">
        <f ca="1">AJ21</f>
        <v>Spanje</v>
      </c>
      <c r="R28" s="7" t="s">
        <v>12</v>
      </c>
      <c r="S28" s="346" t="str">
        <f ca="1">AJ23</f>
        <v>Italië</v>
      </c>
      <c r="T28" s="1256"/>
      <c r="U28" s="1256"/>
      <c r="V28" s="1256"/>
      <c r="W28" s="61"/>
      <c r="X28" s="17"/>
      <c r="Y28" s="4" t="str">
        <f t="shared" si="3"/>
        <v>LEEG</v>
      </c>
      <c r="Z28" s="4"/>
      <c r="AA28" s="139" t="str">
        <f t="shared" si="4"/>
        <v>FOUT</v>
      </c>
      <c r="AB28" s="4" t="str">
        <f t="shared" si="5"/>
        <v>LEEG</v>
      </c>
      <c r="AC28" s="4"/>
      <c r="AD28" s="139" t="str">
        <f t="shared" si="6"/>
        <v>FOUT</v>
      </c>
      <c r="AE28" s="41"/>
      <c r="AF28" s="235">
        <v>16</v>
      </c>
      <c r="AG28" s="107" t="str">
        <f t="shared" ca="1" si="0"/>
        <v>FOUT</v>
      </c>
      <c r="AH28" s="1230"/>
      <c r="AI28" s="1230"/>
      <c r="AJ28" s="480" t="str">
        <f ca="1">D33</f>
        <v>Groep C</v>
      </c>
      <c r="AK28" s="1230"/>
      <c r="AL28" s="1231"/>
      <c r="AM28" s="1231"/>
      <c r="AN28" s="1231"/>
      <c r="AO28" s="1231"/>
      <c r="AP28" s="1230"/>
      <c r="AQ28" s="1236"/>
      <c r="AR28" s="1236"/>
      <c r="AS28" s="1231"/>
      <c r="AT28" s="1231"/>
      <c r="AU28" s="1231"/>
      <c r="AV28" s="1231"/>
      <c r="AW28" s="1231"/>
      <c r="AX28" s="1236"/>
      <c r="AY28" s="1236"/>
      <c r="AZ28" s="1230"/>
      <c r="BA28" s="1230"/>
    </row>
    <row r="29" spans="1:53" ht="15" customHeight="1" x14ac:dyDescent="0.25">
      <c r="B29" s="17"/>
      <c r="C29" s="1049"/>
      <c r="D29" s="6">
        <v>25</v>
      </c>
      <c r="E29" s="11">
        <f>DATE(2024,6,23)+TIME(21,0,0)</f>
        <v>45466.875</v>
      </c>
      <c r="F29" s="135">
        <f t="shared" si="1"/>
        <v>45466.875</v>
      </c>
      <c r="G29" s="8" t="str">
        <f ca="1">AJ15</f>
        <v>Zwitserland</v>
      </c>
      <c r="H29" s="7" t="s">
        <v>12</v>
      </c>
      <c r="I29" s="346" t="str">
        <f ca="1">AJ12</f>
        <v>Duitsland</v>
      </c>
      <c r="J29" s="1256"/>
      <c r="K29" s="1256"/>
      <c r="L29" s="1256"/>
      <c r="M29" s="9"/>
      <c r="N29" s="6">
        <v>27</v>
      </c>
      <c r="O29" s="11">
        <f>DATE(2024,6,24)+TIME(21,0,0)</f>
        <v>45467.875</v>
      </c>
      <c r="P29" s="135">
        <f t="shared" si="2"/>
        <v>45467.875</v>
      </c>
      <c r="Q29" s="8" t="str">
        <f ca="1">AJ24</f>
        <v>Albanië</v>
      </c>
      <c r="R29" s="7" t="s">
        <v>12</v>
      </c>
      <c r="S29" s="346" t="str">
        <f ca="1">AJ21</f>
        <v>Spanje</v>
      </c>
      <c r="T29" s="1256"/>
      <c r="U29" s="1256"/>
      <c r="V29" s="1256"/>
      <c r="W29" s="61"/>
      <c r="X29" s="17"/>
      <c r="Y29" s="4" t="str">
        <f t="shared" si="3"/>
        <v>LEEG</v>
      </c>
      <c r="Z29" s="4"/>
      <c r="AA29" s="139" t="str">
        <f t="shared" si="4"/>
        <v>FOUT</v>
      </c>
      <c r="AB29" s="4" t="str">
        <f t="shared" si="5"/>
        <v>LEEG</v>
      </c>
      <c r="AC29" s="4"/>
      <c r="AD29" s="139" t="str">
        <f t="shared" si="6"/>
        <v>FOUT</v>
      </c>
      <c r="AE29" s="41"/>
      <c r="AF29" s="107">
        <v>21</v>
      </c>
      <c r="AG29" s="107" t="str">
        <f t="shared" ca="1" si="0"/>
        <v>FOUT</v>
      </c>
      <c r="AH29" s="1230"/>
      <c r="AI29" s="1230"/>
      <c r="AJ29" s="479" t="s">
        <v>17</v>
      </c>
      <c r="AK29" s="1230"/>
      <c r="AL29" s="1231"/>
      <c r="AM29" s="1231"/>
      <c r="AN29" s="1231"/>
      <c r="AO29" s="1231"/>
      <c r="AP29" s="1230"/>
      <c r="AQ29" s="1236"/>
      <c r="AR29" s="1236"/>
      <c r="AS29" s="1231"/>
      <c r="AT29" s="1231"/>
      <c r="AU29" s="1231"/>
      <c r="AV29" s="1231"/>
      <c r="AW29" s="1231"/>
      <c r="AX29" s="1236"/>
      <c r="AY29" s="1236"/>
      <c r="AZ29" s="1230"/>
      <c r="BA29" s="1230"/>
    </row>
    <row r="30" spans="1:53" ht="15" customHeight="1" x14ac:dyDescent="0.25">
      <c r="B30" s="17"/>
      <c r="C30" s="1049"/>
      <c r="D30" s="6">
        <v>26</v>
      </c>
      <c r="E30" s="11">
        <f>E29</f>
        <v>45466.875</v>
      </c>
      <c r="F30" s="135">
        <f t="shared" si="1"/>
        <v>45466.875</v>
      </c>
      <c r="G30" s="8" t="str">
        <f ca="1">AJ13</f>
        <v>Schotland</v>
      </c>
      <c r="H30" s="7" t="s">
        <v>12</v>
      </c>
      <c r="I30" s="346" t="str">
        <f ca="1">AJ14</f>
        <v>Hongarije</v>
      </c>
      <c r="J30" s="1256"/>
      <c r="K30" s="1256"/>
      <c r="L30" s="1256"/>
      <c r="M30" s="9"/>
      <c r="N30" s="6">
        <v>28</v>
      </c>
      <c r="O30" s="11">
        <f>O29</f>
        <v>45467.875</v>
      </c>
      <c r="P30" s="135">
        <f t="shared" si="2"/>
        <v>45467.875</v>
      </c>
      <c r="Q30" s="8" t="str">
        <f ca="1">AJ22</f>
        <v>Kroatië</v>
      </c>
      <c r="R30" s="7" t="s">
        <v>12</v>
      </c>
      <c r="S30" s="346" t="str">
        <f ca="1">AJ23</f>
        <v>Italië</v>
      </c>
      <c r="T30" s="1256"/>
      <c r="U30" s="1256"/>
      <c r="V30" s="1256"/>
      <c r="W30" s="61"/>
      <c r="X30" s="17"/>
      <c r="Y30" s="4" t="str">
        <f t="shared" si="3"/>
        <v>LEEG</v>
      </c>
      <c r="Z30" s="4"/>
      <c r="AA30" s="139" t="str">
        <f t="shared" si="4"/>
        <v>FOUT</v>
      </c>
      <c r="AB30" s="4" t="str">
        <f t="shared" si="5"/>
        <v>LEEG</v>
      </c>
      <c r="AC30" s="4"/>
      <c r="AD30" s="139" t="str">
        <f t="shared" si="6"/>
        <v>FOUT</v>
      </c>
      <c r="AE30" s="41"/>
      <c r="AF30" s="107">
        <v>19</v>
      </c>
      <c r="AG30" s="107" t="str">
        <f t="shared" ca="1" si="0"/>
        <v>FOUT</v>
      </c>
      <c r="AH30" s="161" t="str">
        <f ca="1">RIGHT(AJ28,1)&amp;1</f>
        <v>C1</v>
      </c>
      <c r="AI30" s="158">
        <f ca="1">$AU$85</f>
        <v>4</v>
      </c>
      <c r="AJ30" s="481" t="str">
        <f ca="1">VLOOKUP(AH30,Voorblad!$X$67:$Z$98,2,FALSE)</f>
        <v>Slovenië</v>
      </c>
      <c r="AK30" s="151" t="str">
        <f ca="1">VLOOKUP(AH30,Voorblad!$X$67:$Z$98,3,FALSE)</f>
        <v>SI</v>
      </c>
      <c r="AL30" s="249">
        <v>0</v>
      </c>
      <c r="AM30" s="437">
        <f>IF(ISNUMBER(J35),IF(J35=1,3,IF(J35=3,1,0)),0)</f>
        <v>0</v>
      </c>
      <c r="AN30" s="437">
        <f>IF(ISNUMBER(J37),IF(J37=1,3,IF(J37=3,1,0)),0)</f>
        <v>0</v>
      </c>
      <c r="AO30" s="437">
        <f>IF(ISNUMBER(J39),IF(J39=2,3,IF(J39=3,1,0)),0)</f>
        <v>0</v>
      </c>
      <c r="AP30" s="149">
        <f>IF(AA35&lt;&gt;"FOUT",IF(AM30&gt;AL31,3,IF(AM30=AL31,1,0)),0)+IF(AA37&lt;&gt;"FOUT",IF(AN30&gt;AL32,3,IF(AN30=AL32,1,0)),0)+IF(AA39&lt;&gt;"FOUT",IF(AO30&gt;AL33,3,IF(AO30=AL33,1,0)),0)</f>
        <v>0</v>
      </c>
      <c r="AQ30" s="255">
        <f>SUM(AL30:AO30)*0</f>
        <v>0</v>
      </c>
      <c r="AR30" s="256">
        <f>SUM(AL30:AL33)*0</f>
        <v>0</v>
      </c>
      <c r="AS30" s="192">
        <v>0</v>
      </c>
      <c r="AT30" s="150">
        <f>IF($AP30=$AP31,AM30,0)</f>
        <v>0</v>
      </c>
      <c r="AU30" s="150">
        <f>IF($AP30=$AP32,AN30,0)</f>
        <v>0</v>
      </c>
      <c r="AV30" s="188">
        <f>IF($AP30=$AP33,AO30,0)</f>
        <v>0</v>
      </c>
      <c r="AW30" s="149">
        <f>IF(AT30&gt;AS31,3,IF(AT30=AS31,1,0))+IF(AU30&gt;AS32,3,IF(AU30=AS32,1,0))+IF(AV30&gt;AS33,3,IF(AV30=AS33,1,0))</f>
        <v>3</v>
      </c>
      <c r="AX30" s="255">
        <f>SUM(AS30:AV30)*0</f>
        <v>0</v>
      </c>
      <c r="AY30" s="250">
        <f>SUM(AS30:AS33)*0</f>
        <v>0</v>
      </c>
      <c r="AZ30" s="195">
        <f ca="1">AP30*10000000000000+(500+AQ30-AR30)*10000000000+AQ30*100000000+AW30*1000000+(500+AX30-AY30)*1000+AX30*10+AI30</f>
        <v>5000003500004</v>
      </c>
      <c r="BA30" s="198">
        <f ca="1">RANK(AZ30,AZ30:AZ33)</f>
        <v>1</v>
      </c>
    </row>
    <row r="31" spans="1:53" ht="15" customHeight="1" x14ac:dyDescent="0.25">
      <c r="B31" s="17"/>
      <c r="C31" s="1049"/>
      <c r="D31" s="369"/>
      <c r="E31" s="366"/>
      <c r="F31" s="232"/>
      <c r="G31" s="233"/>
      <c r="H31" s="367"/>
      <c r="I31" s="234"/>
      <c r="J31" s="246"/>
      <c r="K31" s="246"/>
      <c r="L31" s="1041" t="str">
        <f ca="1">Taal04!$B$33</f>
        <v>1 winst voor de thuisploeg, 2 winst voor de uitploeg, 3 gelijkspel</v>
      </c>
      <c r="M31" s="246"/>
      <c r="N31" s="369"/>
      <c r="O31" s="366"/>
      <c r="P31" s="232"/>
      <c r="Q31" s="233"/>
      <c r="R31" s="367"/>
      <c r="S31" s="234"/>
      <c r="T31" s="246"/>
      <c r="U31" s="246"/>
      <c r="V31" s="1041" t="str">
        <f ca="1">Taal04!$B$33</f>
        <v>1 winst voor de thuisploeg, 2 winst voor de uitploeg, 3 gelijkspel</v>
      </c>
      <c r="W31" s="61"/>
      <c r="X31" s="17"/>
      <c r="Y31" s="4"/>
      <c r="Z31" s="4"/>
      <c r="AA31" s="139"/>
      <c r="AB31" s="4"/>
      <c r="AC31" s="4"/>
      <c r="AD31" s="139"/>
      <c r="AE31" s="41"/>
      <c r="AF31" s="235">
        <v>20</v>
      </c>
      <c r="AG31" s="107" t="str">
        <f t="shared" ca="1" si="0"/>
        <v>FOUT</v>
      </c>
      <c r="AH31" s="161" t="str">
        <f ca="1">RIGHT(AJ28,1)&amp;2</f>
        <v>C2</v>
      </c>
      <c r="AI31" s="158">
        <f ca="1">$AV$85</f>
        <v>1</v>
      </c>
      <c r="AJ31" s="487" t="str">
        <f ca="1">VLOOKUP(AH31,Voorblad!$X$67:$Z$98,2,FALSE)</f>
        <v>Denemarken</v>
      </c>
      <c r="AK31" s="111" t="str">
        <f ca="1">VLOOKUP(AH31,Voorblad!$X$67:$Z$98,3,FALSE)</f>
        <v>DK</v>
      </c>
      <c r="AL31" s="435">
        <f>IF(ISNUMBER(J35),IF(J35=2,3,IF(J35=3,1,0)),0)</f>
        <v>0</v>
      </c>
      <c r="AM31" s="251">
        <v>0</v>
      </c>
      <c r="AN31" s="436">
        <f>IF(ISNUMBER(J40),IF(J40=1,3,IF(J40=3,1,0)),0)</f>
        <v>0</v>
      </c>
      <c r="AO31" s="436">
        <f>IF(ISNUMBER(J38),IF(J38=2,3,IF(J38=3,1,0)),0)</f>
        <v>0</v>
      </c>
      <c r="AP31" s="148">
        <f>IF(AA35&lt;&gt;"FOUT",IF(AL31&gt;AM30,3,IF(AL31=AM30,1,0)),0)+IF(AA40&lt;&gt;"FOUT",IF(AN31&gt;AM32,3,IF(AN31=AM32,1,0)),0)+IF(AA38&lt;&gt;"FOUT",IF(AO31&gt;AM33,3,IF(AO31=AM33,1,0)),0)</f>
        <v>0</v>
      </c>
      <c r="AQ31" s="258">
        <f>SUM(AL31:AO31)*0</f>
        <v>0</v>
      </c>
      <c r="AR31" s="259">
        <f>SUM(AM30:AM33)*0</f>
        <v>0</v>
      </c>
      <c r="AS31" s="111">
        <f>IF($AP31=$AP30,AL31,0)</f>
        <v>0</v>
      </c>
      <c r="AT31" s="191">
        <v>0</v>
      </c>
      <c r="AU31" s="70">
        <f>IF($AP31=$AP32,AN31,0)</f>
        <v>0</v>
      </c>
      <c r="AV31" s="189">
        <f>IF($AP31=$AP33,AO31,0)</f>
        <v>0</v>
      </c>
      <c r="AW31" s="148">
        <f>IF(AS31&gt;AT30,3,IF(AS31=AT30,1,0))+IF(AU31&gt;AT32,3,IF(AU31=AT32,1,0))+IF(AV31&gt;AT33,3,IF(AV31=AT33,1,0))</f>
        <v>3</v>
      </c>
      <c r="AX31" s="258">
        <f>SUM(AS31:AV31)*0</f>
        <v>0</v>
      </c>
      <c r="AY31" s="252">
        <f>SUM(AT30:AT33)*0</f>
        <v>0</v>
      </c>
      <c r="AZ31" s="196">
        <f ca="1">AP31*10000000000000+(500+AQ31-AR31)*10000000000+AQ31*100000000+AW31*1000000+(500+AX31-AY31)*1000+AX31*10+AI31</f>
        <v>5000003500001</v>
      </c>
      <c r="BA31" s="199">
        <f ca="1">RANK(AZ31,AZ30:AZ33)</f>
        <v>4</v>
      </c>
    </row>
    <row r="32" spans="1:53" ht="15" customHeight="1" x14ac:dyDescent="0.25">
      <c r="B32" s="17"/>
      <c r="C32" s="1049"/>
      <c r="D32" s="17"/>
      <c r="E32" s="17"/>
      <c r="F32" s="17"/>
      <c r="G32" s="17"/>
      <c r="H32" s="17"/>
      <c r="I32" s="17"/>
      <c r="J32" s="17"/>
      <c r="K32" s="17"/>
      <c r="L32" s="17"/>
      <c r="M32" s="17"/>
      <c r="N32" s="17"/>
      <c r="O32" s="17"/>
      <c r="P32" s="17"/>
      <c r="Q32" s="17"/>
      <c r="R32" s="17"/>
      <c r="S32" s="17"/>
      <c r="T32" s="17"/>
      <c r="U32" s="17"/>
      <c r="V32" s="17"/>
      <c r="W32" s="61"/>
      <c r="X32" s="17"/>
      <c r="Y32" s="4"/>
      <c r="Z32" s="4"/>
      <c r="AA32" s="4"/>
      <c r="AB32" s="4"/>
      <c r="AC32" s="4"/>
      <c r="AD32" s="1"/>
      <c r="AE32" s="41"/>
      <c r="AF32" s="235">
        <v>24</v>
      </c>
      <c r="AG32" s="107" t="str">
        <f t="shared" ca="1" si="0"/>
        <v>FOUT</v>
      </c>
      <c r="AH32" s="161" t="str">
        <f ca="1">RIGHT(AJ28,1)&amp;3</f>
        <v>C3</v>
      </c>
      <c r="AI32" s="158">
        <f ca="1">$AW$85</f>
        <v>3</v>
      </c>
      <c r="AJ32" s="487" t="str">
        <f ca="1">VLOOKUP(AH32,Voorblad!$X$67:$Z$98,2,FALSE)</f>
        <v>Servië</v>
      </c>
      <c r="AK32" s="111" t="str">
        <f ca="1">VLOOKUP(AH32,Voorblad!$X$67:$Z$98,3,FALSE)</f>
        <v>RS</v>
      </c>
      <c r="AL32" s="435">
        <f>IF(ISNUMBER(J37),IF(J37=2,3,IF(J37=3,1,0)),0)</f>
        <v>0</v>
      </c>
      <c r="AM32" s="436">
        <f>IF(ISNUMBER(J40),IF(J40=2,3,IF(J40=3,1,0)),0)</f>
        <v>0</v>
      </c>
      <c r="AN32" s="251">
        <v>0</v>
      </c>
      <c r="AO32" s="436">
        <f>IF(ISNUMBER(J36),IF(J36=1,3,IF(J36=3,1,0)),0)</f>
        <v>0</v>
      </c>
      <c r="AP32" s="148">
        <f>IF(AA37&lt;&gt;"FOUT",IF(AL32&gt;AN30,3,IF(AL32=AN30,1,0)),0)+IF(AA40&lt;&gt;"FOUT",IF(AM32&gt;AN31,3,IF(AM32=AN31,1,0)),0)+IF(AA36&lt;&gt;"FOUT",IF(AO32&gt;AN33,3,IF(AO32=AN33,1,0)),0)</f>
        <v>0</v>
      </c>
      <c r="AQ32" s="258">
        <f>SUM(AL32:AO32)*0</f>
        <v>0</v>
      </c>
      <c r="AR32" s="259">
        <f>SUM(AN30:AN33)*0</f>
        <v>0</v>
      </c>
      <c r="AS32" s="111">
        <f>IF($AP32=$AP30,AL32,0)</f>
        <v>0</v>
      </c>
      <c r="AT32" s="70">
        <f>IF($AP32=$AP31,AM32,0)</f>
        <v>0</v>
      </c>
      <c r="AU32" s="191">
        <v>0</v>
      </c>
      <c r="AV32" s="189">
        <f>IF($AP32=$AP33,AO32,0)</f>
        <v>0</v>
      </c>
      <c r="AW32" s="148">
        <f>IF(AS32&gt;AU30,3,IF(AS32=AU30,1,0))+IF(AT32&gt;AU31,3,IF(AT32=AU31,1,0))+IF(AV32&gt;AU33,3,IF(AV32=AU33,1,0))</f>
        <v>3</v>
      </c>
      <c r="AX32" s="258">
        <f>SUM(AS32:AV32)*0</f>
        <v>0</v>
      </c>
      <c r="AY32" s="252">
        <f>SUM(AU30:AU33)*0</f>
        <v>0</v>
      </c>
      <c r="AZ32" s="196">
        <f ca="1">AP32*10000000000000+(500+AQ32-AR32)*10000000000+AQ32*100000000+AW32*1000000+(500+AX32-AY32)*1000+AX32*10+AI32</f>
        <v>5000003500003</v>
      </c>
      <c r="BA32" s="199">
        <f ca="1">RANK(AZ32,AZ30:AZ33)</f>
        <v>2</v>
      </c>
    </row>
    <row r="33" spans="2:53" ht="20.100000000000001" customHeight="1" x14ac:dyDescent="0.4">
      <c r="B33" s="17"/>
      <c r="C33" s="1049"/>
      <c r="D33" s="908" t="str">
        <f ca="1">Taal04!$B$26&amp;" C"</f>
        <v>Groep C</v>
      </c>
      <c r="E33" s="17"/>
      <c r="F33" s="17"/>
      <c r="G33" s="17"/>
      <c r="H33" s="17"/>
      <c r="I33" s="17"/>
      <c r="J33" s="17"/>
      <c r="K33" s="17"/>
      <c r="L33" s="17"/>
      <c r="M33" s="17"/>
      <c r="N33" s="908" t="str">
        <f ca="1">Taal04!$B$26&amp;" D"</f>
        <v>Groep D</v>
      </c>
      <c r="O33" s="17"/>
      <c r="P33" s="17"/>
      <c r="Q33" s="17"/>
      <c r="R33" s="17"/>
      <c r="S33" s="17"/>
      <c r="T33" s="17"/>
      <c r="U33" s="17"/>
      <c r="V33" s="17"/>
      <c r="W33" s="61"/>
      <c r="X33" s="17"/>
      <c r="Y33" s="1233" t="str">
        <f ca="1">"Controle "&amp;D33</f>
        <v>Controle Groep C</v>
      </c>
      <c r="Z33" s="1233"/>
      <c r="AA33" s="1233"/>
      <c r="AB33" s="1233" t="str">
        <f ca="1">"Controle "&amp;N33</f>
        <v>Controle Groep D</v>
      </c>
      <c r="AC33" s="1233"/>
      <c r="AD33" s="1233"/>
      <c r="AE33" s="41"/>
      <c r="AF33" s="235">
        <v>23</v>
      </c>
      <c r="AG33" s="107" t="str">
        <f t="shared" ca="1" si="0"/>
        <v>FOUT</v>
      </c>
      <c r="AH33" s="161" t="str">
        <f ca="1">RIGHT(AJ28,1)&amp;4</f>
        <v>C4</v>
      </c>
      <c r="AI33" s="158">
        <f ca="1">$AX$85</f>
        <v>2</v>
      </c>
      <c r="AJ33" s="494" t="str">
        <f ca="1">VLOOKUP(AH33,Voorblad!$X$67:$Z$98,2,FALSE)</f>
        <v>Engeland</v>
      </c>
      <c r="AK33" s="147" t="str">
        <f ca="1">VLOOKUP(AH33,Voorblad!$X$67:$Z$98,3,FALSE)</f>
        <v>GB</v>
      </c>
      <c r="AL33" s="433">
        <f>IF(ISNUMBER(J39),IF(J39=1,3,IF(J39=3,1,0)),0)</f>
        <v>0</v>
      </c>
      <c r="AM33" s="434">
        <f>IF(ISNUMBER(J38),IF(J38=1,3,IF(J38=3,1,0)),0)</f>
        <v>0</v>
      </c>
      <c r="AN33" s="434">
        <f>IF(ISNUMBER(J36),IF(J36=2,3,IF(J36=3,1,0)),0)</f>
        <v>0</v>
      </c>
      <c r="AO33" s="254">
        <v>0</v>
      </c>
      <c r="AP33" s="463">
        <f>IF(AA39&lt;&gt;"FOUT",IF(AL33&gt;AO30,3,IF(AL33=AO30,1,0)),0)+IF(AA38&lt;&gt;"FOUT",IF(AM33&gt;AO31,3,IF(AM33=AO31,1,0)),0)+IF(AA36&lt;&gt;"FOUT",IF(AN33&gt;AO32,3,IF(AN33=AO32,1,0)),0)</f>
        <v>0</v>
      </c>
      <c r="AQ33" s="261">
        <f>SUM(AL33:AO33)*0</f>
        <v>0</v>
      </c>
      <c r="AR33" s="262">
        <f>SUM(AO30:AO33)*0</f>
        <v>0</v>
      </c>
      <c r="AS33" s="147">
        <f>IF($AP33=$AP30,AL33,0)</f>
        <v>0</v>
      </c>
      <c r="AT33" s="146">
        <f>IF($AP33=$AP31,AM33,0)</f>
        <v>0</v>
      </c>
      <c r="AU33" s="146">
        <f>IF($AP33=$AP32,AN33,0)</f>
        <v>0</v>
      </c>
      <c r="AV33" s="190">
        <v>0</v>
      </c>
      <c r="AW33" s="145">
        <f>IF(AS33&gt;AV30,3,IF(AS33=AV30,1,0))+IF(AT33&gt;AV31,3,IF(AT33=AV31,1,0))+IF(AU33&gt;AV32,3,IF(AU33=AV32,1,0))</f>
        <v>3</v>
      </c>
      <c r="AX33" s="261">
        <f>SUM(AS33:AV33)*0</f>
        <v>0</v>
      </c>
      <c r="AY33" s="253">
        <f>SUM(AV30:AV33)*0</f>
        <v>0</v>
      </c>
      <c r="AZ33" s="197">
        <f ca="1">AP33*10000000000000+(500+AQ33-AR33)*10000000000+AQ33*100000000+AW33*1000000+(500+AX33-AY33)*1000+AX33*10+AI33</f>
        <v>5000003500002</v>
      </c>
      <c r="BA33" s="200">
        <f ca="1">RANK(AZ33,AZ30:AZ33)</f>
        <v>3</v>
      </c>
    </row>
    <row r="34" spans="2:53" ht="15" customHeight="1" x14ac:dyDescent="0.25">
      <c r="B34" s="17"/>
      <c r="C34" s="1049"/>
      <c r="D34" s="108"/>
      <c r="E34" s="1038" t="str">
        <f ca="1">Taal04!$B$20</f>
        <v>Datum</v>
      </c>
      <c r="F34" s="1038" t="str">
        <f ca="1">Taal04!$B$21</f>
        <v>Tijd</v>
      </c>
      <c r="G34" s="1234" t="str">
        <f ca="1">Taal04!$B$22</f>
        <v>Wedstrijd</v>
      </c>
      <c r="H34" s="1234"/>
      <c r="I34" s="1234"/>
      <c r="J34" s="1234" t="str">
        <f ca="1">Taal04!$B$23</f>
        <v>TOTO</v>
      </c>
      <c r="K34" s="1235"/>
      <c r="L34" s="1235"/>
      <c r="M34" s="17"/>
      <c r="N34" s="108"/>
      <c r="O34" s="1038" t="str">
        <f ca="1">Taal04!$B$20</f>
        <v>Datum</v>
      </c>
      <c r="P34" s="1038" t="str">
        <f ca="1">Taal04!$B$21</f>
        <v>Tijd</v>
      </c>
      <c r="Q34" s="1234" t="str">
        <f ca="1">Taal04!$B$22</f>
        <v>Wedstrijd</v>
      </c>
      <c r="R34" s="1234"/>
      <c r="S34" s="1234"/>
      <c r="T34" s="1234" t="str">
        <f ca="1">Taal04!$B$23</f>
        <v>TOTO</v>
      </c>
      <c r="U34" s="1235"/>
      <c r="V34" s="1235"/>
      <c r="W34" s="61"/>
      <c r="X34" s="17"/>
      <c r="Y34" s="4" t="s">
        <v>234</v>
      </c>
      <c r="Z34" s="4"/>
      <c r="AA34" s="139" t="s">
        <v>0</v>
      </c>
      <c r="AB34" s="4" t="s">
        <v>234</v>
      </c>
      <c r="AC34" s="4"/>
      <c r="AD34" s="139" t="s">
        <v>0</v>
      </c>
      <c r="AE34" s="41"/>
      <c r="AF34" s="235">
        <v>22</v>
      </c>
      <c r="AG34" s="107" t="str">
        <f t="shared" ca="1" si="0"/>
        <v>FOUT</v>
      </c>
      <c r="AH34" s="71"/>
      <c r="AI34" s="71"/>
      <c r="AJ34" s="479" t="s">
        <v>231</v>
      </c>
      <c r="AK34" s="71" t="str">
        <f>IF(COUNTIF(Y35:Y40,"GOED")=6,"JA","NEE")</f>
        <v>NEE</v>
      </c>
      <c r="AL34" s="70"/>
      <c r="AM34" s="70"/>
      <c r="AN34" s="70"/>
      <c r="AO34" s="70"/>
      <c r="AP34" s="70"/>
      <c r="AQ34" s="153"/>
      <c r="AR34" s="153"/>
      <c r="AS34" s="172"/>
      <c r="AT34" s="172"/>
      <c r="AU34" s="172"/>
      <c r="AV34" s="172"/>
      <c r="AW34" s="381"/>
      <c r="AX34" s="172"/>
      <c r="AY34" s="172"/>
      <c r="AZ34" s="172"/>
      <c r="BA34" s="71"/>
    </row>
    <row r="35" spans="2:53" ht="15" customHeight="1" x14ac:dyDescent="0.25">
      <c r="B35" s="17"/>
      <c r="C35" s="1049"/>
      <c r="D35" s="6" t="str">
        <f>"06"</f>
        <v>06</v>
      </c>
      <c r="E35" s="11">
        <f>DATE(2024,6,16)+TIME(18,0,0)</f>
        <v>45459.75</v>
      </c>
      <c r="F35" s="135">
        <f t="shared" ref="F35:F40" si="7">E35+TIME(0,0,0)</f>
        <v>45459.75</v>
      </c>
      <c r="G35" s="8" t="str">
        <f ca="1">AJ30</f>
        <v>Slovenië</v>
      </c>
      <c r="H35" s="7" t="s">
        <v>12</v>
      </c>
      <c r="I35" s="346" t="str">
        <f ca="1">AJ31</f>
        <v>Denemarken</v>
      </c>
      <c r="J35" s="1256"/>
      <c r="K35" s="1256"/>
      <c r="L35" s="1256"/>
      <c r="M35" s="9"/>
      <c r="N35" s="6" t="str">
        <f>"07"</f>
        <v>07</v>
      </c>
      <c r="O35" s="11">
        <f>DATE(2024,6,16)+TIME(15,0,0)</f>
        <v>45459.625</v>
      </c>
      <c r="P35" s="135">
        <f t="shared" ref="P35:P40" si="8">O35+TIME(0,0,0)</f>
        <v>45459.625</v>
      </c>
      <c r="Q35" s="8" t="str">
        <f ca="1">AJ39</f>
        <v>Polen</v>
      </c>
      <c r="R35" s="7" t="s">
        <v>12</v>
      </c>
      <c r="S35" s="346" t="str">
        <f ca="1">AJ40</f>
        <v>Nederland</v>
      </c>
      <c r="T35" s="1256"/>
      <c r="U35" s="1256"/>
      <c r="V35" s="1256"/>
      <c r="W35" s="61"/>
      <c r="X35" s="17"/>
      <c r="Y35" s="4" t="str">
        <f t="shared" ref="Y35:Y40" si="9">IF(ISBLANK(J35),"LEEG",IF(OR(J35=1,J35=2,J35=3),"GOED","ONGELDIG"))</f>
        <v>LEEG</v>
      </c>
      <c r="Z35" s="4"/>
      <c r="AA35" s="139" t="str">
        <f t="shared" ref="AA35:AA40" si="10">IF(Y35="GOED",J35&amp;"|","FOUT")</f>
        <v>FOUT</v>
      </c>
      <c r="AB35" s="4" t="str">
        <f t="shared" ref="AB35:AB40" si="11">IF(ISBLANK(T35),"LEEG",IF(OR(T35=1,T35=2,T35=3),"GOED","ONGELDIG"))</f>
        <v>LEEG</v>
      </c>
      <c r="AC35" s="4"/>
      <c r="AD35" s="139" t="str">
        <f t="shared" ref="AD35:AD40" si="12">IF(AB35="GOED",T35&amp;"|","FOUT")</f>
        <v>FOUT</v>
      </c>
      <c r="AE35" s="41"/>
      <c r="AF35" s="235">
        <v>25</v>
      </c>
      <c r="AG35" s="107" t="str">
        <f t="shared" si="0"/>
        <v>FOUT</v>
      </c>
      <c r="AH35" s="1230"/>
      <c r="AI35" s="1230"/>
      <c r="AJ35" s="479"/>
      <c r="AK35" s="1230" t="s">
        <v>176</v>
      </c>
      <c r="AL35" s="1231" t="str">
        <f ca="1">AJ39</f>
        <v>Polen</v>
      </c>
      <c r="AM35" s="1231" t="str">
        <f ca="1">AJ40</f>
        <v>Nederland</v>
      </c>
      <c r="AN35" s="1231" t="str">
        <f ca="1">AJ41</f>
        <v>Oostenrijk</v>
      </c>
      <c r="AO35" s="1231" t="str">
        <f ca="1">AJ42</f>
        <v>Frankrijk</v>
      </c>
      <c r="AP35" s="1230" t="s">
        <v>99</v>
      </c>
      <c r="AQ35" s="1236" t="s">
        <v>175</v>
      </c>
      <c r="AR35" s="1236" t="s">
        <v>174</v>
      </c>
      <c r="AS35" s="1231" t="str">
        <f ca="1">"Gelijk met "&amp;AH39</f>
        <v>Gelijk met D1</v>
      </c>
      <c r="AT35" s="1231" t="str">
        <f ca="1">"Gelijk met "&amp;AH40</f>
        <v>Gelijk met D2</v>
      </c>
      <c r="AU35" s="1231" t="str">
        <f ca="1">"Gelijk met "&amp;AH41</f>
        <v>Gelijk met D3</v>
      </c>
      <c r="AV35" s="1231" t="str">
        <f ca="1">"Gelijk met "&amp;AH42</f>
        <v>Gelijk met D4</v>
      </c>
      <c r="AW35" s="1231" t="s">
        <v>99</v>
      </c>
      <c r="AX35" s="1236" t="s">
        <v>175</v>
      </c>
      <c r="AY35" s="1236" t="s">
        <v>174</v>
      </c>
      <c r="AZ35" s="1230" t="s">
        <v>232</v>
      </c>
      <c r="BA35" s="1230" t="s">
        <v>71</v>
      </c>
    </row>
    <row r="36" spans="2:53" ht="15" customHeight="1" x14ac:dyDescent="0.25">
      <c r="B36" s="17"/>
      <c r="C36" s="1049"/>
      <c r="D36" s="6" t="str">
        <f>"05"</f>
        <v>05</v>
      </c>
      <c r="E36" s="11">
        <f>DATE(2024,6,16)+TIME(21,0,0)</f>
        <v>45459.875</v>
      </c>
      <c r="F36" s="135">
        <f t="shared" si="7"/>
        <v>45459.875</v>
      </c>
      <c r="G36" s="8" t="str">
        <f ca="1">AJ32</f>
        <v>Servië</v>
      </c>
      <c r="H36" s="7" t="s">
        <v>12</v>
      </c>
      <c r="I36" s="346" t="str">
        <f ca="1">AJ33</f>
        <v>Engeland</v>
      </c>
      <c r="J36" s="1256"/>
      <c r="K36" s="1256"/>
      <c r="L36" s="1256"/>
      <c r="M36" s="9"/>
      <c r="N36" s="473" t="str">
        <f>"08"</f>
        <v>08</v>
      </c>
      <c r="O36" s="471">
        <f>DATE(2024,6,17)+TIME(21,0,0)</f>
        <v>45460.875</v>
      </c>
      <c r="P36" s="472">
        <f t="shared" si="8"/>
        <v>45460.875</v>
      </c>
      <c r="Q36" s="8" t="str">
        <f ca="1">AJ41</f>
        <v>Oostenrijk</v>
      </c>
      <c r="R36" s="7" t="s">
        <v>12</v>
      </c>
      <c r="S36" s="346" t="str">
        <f ca="1">AJ42</f>
        <v>Frankrijk</v>
      </c>
      <c r="T36" s="1256"/>
      <c r="U36" s="1256"/>
      <c r="V36" s="1256"/>
      <c r="W36" s="61"/>
      <c r="X36" s="17"/>
      <c r="Y36" s="4" t="str">
        <f t="shared" si="9"/>
        <v>LEEG</v>
      </c>
      <c r="Z36" s="4"/>
      <c r="AA36" s="139" t="str">
        <f t="shared" si="10"/>
        <v>FOUT</v>
      </c>
      <c r="AB36" s="4" t="str">
        <f t="shared" si="11"/>
        <v>LEEG</v>
      </c>
      <c r="AC36" s="4"/>
      <c r="AD36" s="139" t="str">
        <f t="shared" si="12"/>
        <v>FOUT</v>
      </c>
      <c r="AE36" s="41"/>
      <c r="AF36" s="235">
        <v>26</v>
      </c>
      <c r="AG36" s="107" t="str">
        <f t="shared" si="0"/>
        <v>FOUT</v>
      </c>
      <c r="AH36" s="1230"/>
      <c r="AI36" s="1230"/>
      <c r="AJ36" s="479"/>
      <c r="AK36" s="1230"/>
      <c r="AL36" s="1231"/>
      <c r="AM36" s="1231"/>
      <c r="AN36" s="1231"/>
      <c r="AO36" s="1231"/>
      <c r="AP36" s="1230"/>
      <c r="AQ36" s="1236"/>
      <c r="AR36" s="1236"/>
      <c r="AS36" s="1231"/>
      <c r="AT36" s="1231"/>
      <c r="AU36" s="1231"/>
      <c r="AV36" s="1231"/>
      <c r="AW36" s="1231"/>
      <c r="AX36" s="1236"/>
      <c r="AY36" s="1236"/>
      <c r="AZ36" s="1230"/>
      <c r="BA36" s="1230"/>
    </row>
    <row r="37" spans="2:53" ht="15" customHeight="1" x14ac:dyDescent="0.25">
      <c r="B37" s="17"/>
      <c r="C37" s="1049"/>
      <c r="D37" s="6">
        <v>18</v>
      </c>
      <c r="E37" s="11">
        <f>DATE(2024,6,20)+TIME(15,0,0)</f>
        <v>45463.625</v>
      </c>
      <c r="F37" s="135">
        <f>E37+TIME(0,0,0)</f>
        <v>45463.625</v>
      </c>
      <c r="G37" s="8" t="str">
        <f ca="1">AJ30</f>
        <v>Slovenië</v>
      </c>
      <c r="H37" s="7" t="s">
        <v>12</v>
      </c>
      <c r="I37" s="346" t="str">
        <f ca="1">AJ32</f>
        <v>Servië</v>
      </c>
      <c r="J37" s="1256"/>
      <c r="K37" s="1256"/>
      <c r="L37" s="1256"/>
      <c r="M37" s="9"/>
      <c r="N37" s="6">
        <v>19</v>
      </c>
      <c r="O37" s="11">
        <f>DATE(2024,6,21)+TIME(18,0,0)</f>
        <v>45464.75</v>
      </c>
      <c r="P37" s="135">
        <f t="shared" si="8"/>
        <v>45464.75</v>
      </c>
      <c r="Q37" s="8" t="str">
        <f ca="1">AJ39</f>
        <v>Polen</v>
      </c>
      <c r="R37" s="7" t="s">
        <v>12</v>
      </c>
      <c r="S37" s="346" t="str">
        <f ca="1">AJ41</f>
        <v>Oostenrijk</v>
      </c>
      <c r="T37" s="1256"/>
      <c r="U37" s="1256"/>
      <c r="V37" s="1256"/>
      <c r="W37" s="61"/>
      <c r="X37" s="17"/>
      <c r="Y37" s="4" t="str">
        <f>IF(ISBLANK(J37),"LEEG",IF(OR(J37=1,J37=2,J37=3),"GOED","ONGELDIG"))</f>
        <v>LEEG</v>
      </c>
      <c r="Z37" s="4"/>
      <c r="AA37" s="139" t="str">
        <f>IF(Y37="GOED",J37&amp;"|","FOUT")</f>
        <v>FOUT</v>
      </c>
      <c r="AB37" s="4" t="str">
        <f t="shared" si="11"/>
        <v>LEEG</v>
      </c>
      <c r="AC37" s="4"/>
      <c r="AD37" s="139" t="str">
        <f t="shared" si="12"/>
        <v>FOUT</v>
      </c>
      <c r="AE37" s="41"/>
      <c r="AF37" s="235">
        <v>27</v>
      </c>
      <c r="AG37" s="107" t="str">
        <f t="shared" ca="1" si="0"/>
        <v>FOUT</v>
      </c>
      <c r="AH37" s="1230"/>
      <c r="AI37" s="1230"/>
      <c r="AJ37" s="480" t="str">
        <f ca="1">N33</f>
        <v>Groep D</v>
      </c>
      <c r="AK37" s="1230"/>
      <c r="AL37" s="1231"/>
      <c r="AM37" s="1231"/>
      <c r="AN37" s="1231"/>
      <c r="AO37" s="1231"/>
      <c r="AP37" s="1230"/>
      <c r="AQ37" s="1236"/>
      <c r="AR37" s="1236"/>
      <c r="AS37" s="1231"/>
      <c r="AT37" s="1231"/>
      <c r="AU37" s="1231"/>
      <c r="AV37" s="1231"/>
      <c r="AW37" s="1231"/>
      <c r="AX37" s="1236"/>
      <c r="AY37" s="1236"/>
      <c r="AZ37" s="1230"/>
      <c r="BA37" s="1230"/>
    </row>
    <row r="38" spans="2:53" ht="15" customHeight="1" x14ac:dyDescent="0.25">
      <c r="B38" s="17"/>
      <c r="C38" s="1049"/>
      <c r="D38" s="6">
        <v>17</v>
      </c>
      <c r="E38" s="11">
        <f>DATE(2024,6,20)+TIME(18,0,0)</f>
        <v>45463.75</v>
      </c>
      <c r="F38" s="135">
        <f>E38+TIME(0,0,0)</f>
        <v>45463.75</v>
      </c>
      <c r="G38" s="8" t="str">
        <f ca="1">AJ33</f>
        <v>Engeland</v>
      </c>
      <c r="H38" s="7" t="s">
        <v>12</v>
      </c>
      <c r="I38" s="346" t="str">
        <f ca="1">AJ31</f>
        <v>Denemarken</v>
      </c>
      <c r="J38" s="1256"/>
      <c r="K38" s="1256"/>
      <c r="L38" s="1256"/>
      <c r="M38" s="9"/>
      <c r="N38" s="6">
        <v>20</v>
      </c>
      <c r="O38" s="11">
        <f>DATE(2024,6,21)+TIME(21,0,0)</f>
        <v>45464.875</v>
      </c>
      <c r="P38" s="135">
        <f t="shared" si="8"/>
        <v>45464.875</v>
      </c>
      <c r="Q38" s="8" t="str">
        <f ca="1">AJ40</f>
        <v>Nederland</v>
      </c>
      <c r="R38" s="7" t="s">
        <v>12</v>
      </c>
      <c r="S38" s="346" t="str">
        <f ca="1">AJ42</f>
        <v>Frankrijk</v>
      </c>
      <c r="T38" s="1256"/>
      <c r="U38" s="1256"/>
      <c r="V38" s="1256"/>
      <c r="W38" s="61"/>
      <c r="X38" s="17"/>
      <c r="Y38" s="4" t="str">
        <f>IF(ISBLANK(J38),"LEEG",IF(OR(J38=1,J38=2,J38=3),"GOED","ONGELDIG"))</f>
        <v>LEEG</v>
      </c>
      <c r="Z38" s="4"/>
      <c r="AA38" s="139" t="str">
        <f>IF(Y38="GOED",J38&amp;"|","FOUT")</f>
        <v>FOUT</v>
      </c>
      <c r="AB38" s="4" t="str">
        <f t="shared" si="11"/>
        <v>LEEG</v>
      </c>
      <c r="AC38" s="4"/>
      <c r="AD38" s="139" t="str">
        <f t="shared" si="12"/>
        <v>FOUT</v>
      </c>
      <c r="AE38" s="41"/>
      <c r="AF38" s="235">
        <v>28</v>
      </c>
      <c r="AG38" s="107" t="str">
        <f t="shared" ca="1" si="0"/>
        <v>FOUT</v>
      </c>
      <c r="AH38" s="1230"/>
      <c r="AI38" s="1230"/>
      <c r="AJ38" s="479" t="s">
        <v>17</v>
      </c>
      <c r="AK38" s="1230"/>
      <c r="AL38" s="1231"/>
      <c r="AM38" s="1231"/>
      <c r="AN38" s="1231"/>
      <c r="AO38" s="1231"/>
      <c r="AP38" s="1258"/>
      <c r="AQ38" s="1236"/>
      <c r="AR38" s="1236"/>
      <c r="AS38" s="1231"/>
      <c r="AT38" s="1231"/>
      <c r="AU38" s="1231"/>
      <c r="AV38" s="1231"/>
      <c r="AW38" s="1231"/>
      <c r="AX38" s="1236"/>
      <c r="AY38" s="1236"/>
      <c r="AZ38" s="1230"/>
      <c r="BA38" s="1230"/>
    </row>
    <row r="39" spans="2:53" ht="15" customHeight="1" x14ac:dyDescent="0.25">
      <c r="B39" s="17"/>
      <c r="C39" s="1049"/>
      <c r="D39" s="6">
        <v>29</v>
      </c>
      <c r="E39" s="471">
        <f>DATE(2024,6,25)+TIME(21,0,0)</f>
        <v>45468.875</v>
      </c>
      <c r="F39" s="135">
        <f t="shared" si="7"/>
        <v>45468.875</v>
      </c>
      <c r="G39" s="8" t="str">
        <f ca="1">AJ33</f>
        <v>Engeland</v>
      </c>
      <c r="H39" s="7" t="s">
        <v>12</v>
      </c>
      <c r="I39" s="346" t="str">
        <f ca="1">AJ30</f>
        <v>Slovenië</v>
      </c>
      <c r="J39" s="1256"/>
      <c r="K39" s="1256"/>
      <c r="L39" s="1256"/>
      <c r="M39" s="9"/>
      <c r="N39" s="6">
        <v>31</v>
      </c>
      <c r="O39" s="471">
        <f>DATE(2024,6,25)+TIME(18,0,0)</f>
        <v>45468.75</v>
      </c>
      <c r="P39" s="135">
        <f t="shared" si="8"/>
        <v>45468.75</v>
      </c>
      <c r="Q39" s="8" t="str">
        <f ca="1">AJ40</f>
        <v>Nederland</v>
      </c>
      <c r="R39" s="7" t="s">
        <v>12</v>
      </c>
      <c r="S39" s="346" t="str">
        <f ca="1">AJ41</f>
        <v>Oostenrijk</v>
      </c>
      <c r="T39" s="1256"/>
      <c r="U39" s="1256"/>
      <c r="V39" s="1256"/>
      <c r="W39" s="61"/>
      <c r="X39" s="17"/>
      <c r="Y39" s="4" t="str">
        <f t="shared" si="9"/>
        <v>LEEG</v>
      </c>
      <c r="Z39" s="4"/>
      <c r="AA39" s="139" t="str">
        <f t="shared" si="10"/>
        <v>FOUT</v>
      </c>
      <c r="AB39" s="4" t="str">
        <f t="shared" si="11"/>
        <v>LEEG</v>
      </c>
      <c r="AC39" s="4"/>
      <c r="AD39" s="139" t="str">
        <f t="shared" si="12"/>
        <v>FOUT</v>
      </c>
      <c r="AE39" s="41"/>
      <c r="AF39" s="235">
        <v>31</v>
      </c>
      <c r="AG39" s="107" t="str">
        <f t="shared" ca="1" si="0"/>
        <v>FOUT</v>
      </c>
      <c r="AH39" s="161" t="str">
        <f ca="1">RIGHT(AJ37,1)&amp;1</f>
        <v>D1</v>
      </c>
      <c r="AI39" s="158">
        <f ca="1">$AU$86</f>
        <v>4</v>
      </c>
      <c r="AJ39" s="481" t="str">
        <f ca="1">VLOOKUP(AH39,Voorblad!$X$67:$Z$98,2,FALSE)</f>
        <v>Polen</v>
      </c>
      <c r="AK39" s="151" t="str">
        <f ca="1">VLOOKUP(AH39,Voorblad!$X$67:$Z$98,3,FALSE)</f>
        <v>PL</v>
      </c>
      <c r="AL39" s="249">
        <v>0</v>
      </c>
      <c r="AM39" s="437">
        <f>IF(ISNUMBER(T35),IF(T35=1,3,IF(T35=3,1,0)),0)</f>
        <v>0</v>
      </c>
      <c r="AN39" s="437">
        <f>IF(ISNUMBER(T37),IF(T37=1,3,IF(T37=3,1,0)),0)</f>
        <v>0</v>
      </c>
      <c r="AO39" s="437">
        <f>IF(ISNUMBER(T40),IF(T40=2,3,IF(T40=3,1,0)),0)</f>
        <v>0</v>
      </c>
      <c r="AP39" s="149">
        <f>IF(AD35&lt;&gt;"FOUT",IF(AM39&gt;AL40,3,IF(AM39=AL40,1,0)),0)+IF(AD37&lt;&gt;"FOUT",IF(AN39&gt;AL41,3,IF(AN39=AL41,1,0)),0)+IF(AD40&lt;&gt;"FOUT",IF(AO39&gt;AL42,3,IF(AO39=AL42,1,0)),0)</f>
        <v>0</v>
      </c>
      <c r="AQ39" s="255">
        <f>SUM(AL39:AO39)*0</f>
        <v>0</v>
      </c>
      <c r="AR39" s="256">
        <f>SUM(AL39:AL42)*0</f>
        <v>0</v>
      </c>
      <c r="AS39" s="192">
        <v>0</v>
      </c>
      <c r="AT39" s="150">
        <f>IF($AP39=$AP40,AM39,0)</f>
        <v>0</v>
      </c>
      <c r="AU39" s="150">
        <f>IF($AP39=$AP41,AN39,0)</f>
        <v>0</v>
      </c>
      <c r="AV39" s="188">
        <f>IF($AP39=$AP42,AO39,0)</f>
        <v>0</v>
      </c>
      <c r="AW39" s="149">
        <f>IF(AT39&gt;AS40,3,IF(AT39=AS40,1,0))+IF(AU39&gt;AS41,3,IF(AU39=AS41,1,0))+IF(AV39&gt;AS42,3,IF(AV39=AS42,1,0))</f>
        <v>3</v>
      </c>
      <c r="AX39" s="255">
        <f>SUM(AS39:AV39)*0</f>
        <v>0</v>
      </c>
      <c r="AY39" s="250">
        <f>SUM(AS39:AS42)*0</f>
        <v>0</v>
      </c>
      <c r="AZ39" s="195">
        <f ca="1">AP39*10000000000000+(500+AQ39-AR39)*10000000000+AQ39*100000000+AW39*1000000+(500+AX39-AY39)*1000+AX39*10+AI39</f>
        <v>5000003500004</v>
      </c>
      <c r="BA39" s="198">
        <f ca="1">RANK(AZ39,AZ39:AZ42)</f>
        <v>1</v>
      </c>
    </row>
    <row r="40" spans="2:53" ht="15" customHeight="1" x14ac:dyDescent="0.25">
      <c r="B40" s="17"/>
      <c r="C40" s="1049"/>
      <c r="D40" s="6">
        <v>30</v>
      </c>
      <c r="E40" s="471">
        <f>E39</f>
        <v>45468.875</v>
      </c>
      <c r="F40" s="135">
        <f t="shared" si="7"/>
        <v>45468.875</v>
      </c>
      <c r="G40" s="8" t="str">
        <f ca="1">AJ31</f>
        <v>Denemarken</v>
      </c>
      <c r="H40" s="7" t="s">
        <v>12</v>
      </c>
      <c r="I40" s="346" t="str">
        <f ca="1">AJ32</f>
        <v>Servië</v>
      </c>
      <c r="J40" s="1256"/>
      <c r="K40" s="1256"/>
      <c r="L40" s="1256"/>
      <c r="M40" s="9"/>
      <c r="N40" s="6">
        <v>32</v>
      </c>
      <c r="O40" s="471">
        <f>O39</f>
        <v>45468.75</v>
      </c>
      <c r="P40" s="135">
        <f t="shared" si="8"/>
        <v>45468.75</v>
      </c>
      <c r="Q40" s="8" t="str">
        <f ca="1">AJ42</f>
        <v>Frankrijk</v>
      </c>
      <c r="R40" s="7" t="s">
        <v>12</v>
      </c>
      <c r="S40" s="346" t="str">
        <f ca="1">AJ39</f>
        <v>Polen</v>
      </c>
      <c r="T40" s="1256"/>
      <c r="U40" s="1256"/>
      <c r="V40" s="1256"/>
      <c r="W40" s="61"/>
      <c r="X40" s="17"/>
      <c r="Y40" s="4" t="str">
        <f t="shared" si="9"/>
        <v>LEEG</v>
      </c>
      <c r="Z40" s="4"/>
      <c r="AA40" s="139" t="str">
        <f t="shared" si="10"/>
        <v>FOUT</v>
      </c>
      <c r="AB40" s="4" t="str">
        <f t="shared" si="11"/>
        <v>LEEG</v>
      </c>
      <c r="AC40" s="4"/>
      <c r="AD40" s="139" t="str">
        <f t="shared" si="12"/>
        <v>FOUT</v>
      </c>
      <c r="AE40" s="41"/>
      <c r="AF40" s="107">
        <v>32</v>
      </c>
      <c r="AG40" s="107" t="str">
        <f t="shared" ca="1" si="0"/>
        <v>FOUT</v>
      </c>
      <c r="AH40" s="161" t="str">
        <f ca="1">RIGHT(AJ37,1)&amp;2</f>
        <v>D2</v>
      </c>
      <c r="AI40" s="158">
        <f ca="1">$AV$86</f>
        <v>2</v>
      </c>
      <c r="AJ40" s="487" t="str">
        <f ca="1">VLOOKUP(AH40,Voorblad!$X$67:$Z$98,2,FALSE)</f>
        <v>Nederland</v>
      </c>
      <c r="AK40" s="111" t="str">
        <f ca="1">VLOOKUP(AH40,Voorblad!$X$67:$Z$98,3,FALSE)</f>
        <v>NL</v>
      </c>
      <c r="AL40" s="435">
        <f>IF(ISNUMBER(T35),IF(T35=2,3,IF(T35=3,1,0)),0)</f>
        <v>0</v>
      </c>
      <c r="AM40" s="251">
        <v>0</v>
      </c>
      <c r="AN40" s="436">
        <f>IF(ISNUMBER(T39),IF(T39=1,3,IF(T39=3,1,0)),0)</f>
        <v>0</v>
      </c>
      <c r="AO40" s="436">
        <f>IF(ISNUMBER(T38),IF(T38=1,3,IF(T38=3,1,0)),0)</f>
        <v>0</v>
      </c>
      <c r="AP40" s="148">
        <f>IF(AD35&lt;&gt;"FOUT",IF(AL40&gt;AM39,3,IF(AL40=AM39,1,0)),0)+IF(AD39&lt;&gt;"FOUT",IF(AN40&gt;AM41,3,IF(AN40=AM41,1,0)),0)+IF(AD38&lt;&gt;"FOUT",IF(AO40&gt;AM42,3,IF(AO40=AM42,1,0)),0)</f>
        <v>0</v>
      </c>
      <c r="AQ40" s="258">
        <f>SUM(AL40:AO40)*0</f>
        <v>0</v>
      </c>
      <c r="AR40" s="259">
        <f>SUM(AM39:AM42)*0</f>
        <v>0</v>
      </c>
      <c r="AS40" s="111">
        <f>IF($AP40=$AP39,AL40,0)</f>
        <v>0</v>
      </c>
      <c r="AT40" s="191">
        <v>0</v>
      </c>
      <c r="AU40" s="70">
        <f>IF($AP40=$AP41,AN40,0)</f>
        <v>0</v>
      </c>
      <c r="AV40" s="189">
        <f>IF($AP40=$AP42,AO40,0)</f>
        <v>0</v>
      </c>
      <c r="AW40" s="148">
        <f>IF(AS40&gt;AT39,3,IF(AS40=AT39,1,0))+IF(AU40&gt;AT41,3,IF(AU40=AT41,1,0))+IF(AV40&gt;AT42,3,IF(AV40=AT42,1,0))</f>
        <v>3</v>
      </c>
      <c r="AX40" s="258">
        <f>SUM(AS40:AV40)*0</f>
        <v>0</v>
      </c>
      <c r="AY40" s="252">
        <f>SUM(AT39:AT42)*0</f>
        <v>0</v>
      </c>
      <c r="AZ40" s="196">
        <f ca="1">AP40*10000000000000+(500+AQ40-AR40)*10000000000+AQ40*100000000+AW40*1000000+(500+AX40-AY40)*1000+AX40*10+AI40</f>
        <v>5000003500002</v>
      </c>
      <c r="BA40" s="199">
        <f ca="1">RANK(AZ40,AZ39:AZ42)</f>
        <v>3</v>
      </c>
    </row>
    <row r="41" spans="2:53" ht="15" customHeight="1" x14ac:dyDescent="0.25">
      <c r="B41" s="17"/>
      <c r="C41" s="1049"/>
      <c r="D41" s="369"/>
      <c r="E41" s="366"/>
      <c r="F41" s="232"/>
      <c r="G41" s="233"/>
      <c r="H41" s="367"/>
      <c r="I41" s="234"/>
      <c r="J41" s="17"/>
      <c r="K41" s="17"/>
      <c r="L41" s="1041" t="str">
        <f ca="1">Taal04!$B$33</f>
        <v>1 winst voor de thuisploeg, 2 winst voor de uitploeg, 3 gelijkspel</v>
      </c>
      <c r="M41" s="9"/>
      <c r="N41" s="369"/>
      <c r="O41" s="366"/>
      <c r="P41" s="232"/>
      <c r="Q41" s="233"/>
      <c r="R41" s="367"/>
      <c r="S41" s="234"/>
      <c r="T41" s="17"/>
      <c r="U41" s="17"/>
      <c r="V41" s="1041" t="str">
        <f ca="1">Taal04!$B$33</f>
        <v>1 winst voor de thuisploeg, 2 winst voor de uitploeg, 3 gelijkspel</v>
      </c>
      <c r="W41" s="61"/>
      <c r="X41" s="17"/>
      <c r="Y41" s="4"/>
      <c r="Z41" s="4"/>
      <c r="AA41" s="4"/>
      <c r="AB41" s="4"/>
      <c r="AC41" s="4"/>
      <c r="AD41" s="139"/>
      <c r="AE41" s="41"/>
      <c r="AF41" s="107">
        <v>29</v>
      </c>
      <c r="AG41" s="107" t="str">
        <f t="shared" ca="1" si="0"/>
        <v>FOUT</v>
      </c>
      <c r="AH41" s="161" t="str">
        <f ca="1">RIGHT(AJ37,1)&amp;3</f>
        <v>D3</v>
      </c>
      <c r="AI41" s="158">
        <f ca="1">$AW$86</f>
        <v>3</v>
      </c>
      <c r="AJ41" s="487" t="str">
        <f ca="1">VLOOKUP(AH41,Voorblad!$X$67:$Z$98,2,FALSE)</f>
        <v>Oostenrijk</v>
      </c>
      <c r="AK41" s="111" t="str">
        <f ca="1">VLOOKUP(AH41,Voorblad!$X$67:$Z$98,3,FALSE)</f>
        <v>AT</v>
      </c>
      <c r="AL41" s="435">
        <f>IF(ISNUMBER(T37),IF(T37=2,3,IF(T37=3,1,0)),0)</f>
        <v>0</v>
      </c>
      <c r="AM41" s="436">
        <f>IF(ISNUMBER(T39),IF(T39=2,3,IF(T39=3,1,0)),0)</f>
        <v>0</v>
      </c>
      <c r="AN41" s="251">
        <v>0</v>
      </c>
      <c r="AO41" s="436">
        <f>IF(ISNUMBER(T36),IF(T36=1,3,IF(T36=3,1,0)),0)</f>
        <v>0</v>
      </c>
      <c r="AP41" s="148">
        <f>IF(AD37&lt;&gt;"FOUT",IF(AL41&gt;AN39,3,IF(AL41=AN39,1,0)),0)+IF(AD39&lt;&gt;"FOUT",IF(AM41&gt;AN40,3,IF(AM41=AN40,1,0)),0)+IF(AD36&lt;&gt;"FOUT",IF(AO41&gt;AN42,3,IF(AO41=AN42,1,0)),0)</f>
        <v>0</v>
      </c>
      <c r="AQ41" s="258">
        <f>SUM(AL41:AO41)*0</f>
        <v>0</v>
      </c>
      <c r="AR41" s="259">
        <f>SUM(AN39:AN42)*0</f>
        <v>0</v>
      </c>
      <c r="AS41" s="111">
        <f>IF($AP41=$AP39,AL41,0)</f>
        <v>0</v>
      </c>
      <c r="AT41" s="70">
        <f>IF($AP41=$AP40,AM41,0)</f>
        <v>0</v>
      </c>
      <c r="AU41" s="191">
        <v>0</v>
      </c>
      <c r="AV41" s="189">
        <f>IF($AP41=$AP42,AO41,0)</f>
        <v>0</v>
      </c>
      <c r="AW41" s="148">
        <f>IF(AS41&gt;AU39,3,IF(AS41=AU39,1,0))+IF(AT41&gt;AU40,3,IF(AT41=AU40,1,0))+IF(AV41&gt;AU42,3,IF(AV41=AU42,1,0))</f>
        <v>3</v>
      </c>
      <c r="AX41" s="258">
        <f>SUM(AS41:AV41)*0</f>
        <v>0</v>
      </c>
      <c r="AY41" s="252">
        <f>SUM(AU39:AU42)*0</f>
        <v>0</v>
      </c>
      <c r="AZ41" s="196">
        <f ca="1">AP41*10000000000000+(500+AQ41-AR41)*10000000000+AQ41*100000000+AW41*1000000+(500+AX41-AY41)*1000+AX41*10+AI41</f>
        <v>5000003500003</v>
      </c>
      <c r="BA41" s="199">
        <f ca="1">RANK(AZ41,AZ39:AZ42)</f>
        <v>2</v>
      </c>
    </row>
    <row r="42" spans="2:53" ht="15" customHeight="1" x14ac:dyDescent="0.25">
      <c r="B42" s="17"/>
      <c r="C42" s="1049"/>
      <c r="D42" s="17"/>
      <c r="E42" s="17"/>
      <c r="F42" s="17"/>
      <c r="G42" s="17"/>
      <c r="H42" s="17"/>
      <c r="I42" s="17"/>
      <c r="J42" s="17"/>
      <c r="K42" s="17"/>
      <c r="L42" s="17"/>
      <c r="M42" s="17"/>
      <c r="N42" s="17"/>
      <c r="O42" s="17"/>
      <c r="P42" s="17"/>
      <c r="Q42" s="17"/>
      <c r="R42" s="17"/>
      <c r="S42" s="17"/>
      <c r="T42" s="17"/>
      <c r="U42" s="17"/>
      <c r="V42" s="17"/>
      <c r="W42" s="61"/>
      <c r="X42" s="17"/>
      <c r="Y42" s="4"/>
      <c r="Z42" s="4"/>
      <c r="AA42" s="4"/>
      <c r="AB42" s="4"/>
      <c r="AC42" s="4"/>
      <c r="AD42" s="1"/>
      <c r="AE42" s="41"/>
      <c r="AF42" s="107">
        <v>30</v>
      </c>
      <c r="AG42" s="107" t="str">
        <f t="shared" ca="1" si="0"/>
        <v>FOUT</v>
      </c>
      <c r="AH42" s="161" t="str">
        <f ca="1">RIGHT(AJ37,1)&amp;4</f>
        <v>D4</v>
      </c>
      <c r="AI42" s="158">
        <f ca="1">$AX$86</f>
        <v>1</v>
      </c>
      <c r="AJ42" s="494" t="str">
        <f ca="1">VLOOKUP(AH42,Voorblad!$X$67:$Z$98,2,FALSE)</f>
        <v>Frankrijk</v>
      </c>
      <c r="AK42" s="147" t="str">
        <f ca="1">VLOOKUP(AH42,Voorblad!$X$67:$Z$98,3,FALSE)</f>
        <v>FR</v>
      </c>
      <c r="AL42" s="433">
        <f>IF(ISNUMBER(T40),IF(T40=1,3,IF(T40=3,1,0)),0)</f>
        <v>0</v>
      </c>
      <c r="AM42" s="434">
        <f>IF(ISNUMBER(T38),IF(T38=2,3,IF(T38=3,1,0)),0)</f>
        <v>0</v>
      </c>
      <c r="AN42" s="434">
        <f>IF(ISNUMBER(T36),IF(T36=2,3,IF(T36=3,1,0)),0)</f>
        <v>0</v>
      </c>
      <c r="AO42" s="254">
        <v>0</v>
      </c>
      <c r="AP42" s="463">
        <f>IF(AD40&lt;&gt;"FOUT",IF(AL42&gt;AO39,3,IF(AL42=AO39,1,0)),0)+IF(AD38&lt;&gt;"FOUT",IF(AM42&gt;AO40,3,IF(AM42=AO40,1,0)),0)+IF(AD36&lt;&gt;"FOUT",IF(AN42&gt;AO41,3,IF(AN42=AO41,1,0)),0)</f>
        <v>0</v>
      </c>
      <c r="AQ42" s="261">
        <f>SUM(AL42:AO42)*0</f>
        <v>0</v>
      </c>
      <c r="AR42" s="262">
        <f>SUM(AO39:AO42)*0</f>
        <v>0</v>
      </c>
      <c r="AS42" s="147">
        <f>IF($AP42=$AP39,AL42,0)</f>
        <v>0</v>
      </c>
      <c r="AT42" s="146">
        <f>IF($AP42=$AP40,AM42,0)</f>
        <v>0</v>
      </c>
      <c r="AU42" s="146">
        <f>IF($AP42=$AP41,AN42,0)</f>
        <v>0</v>
      </c>
      <c r="AV42" s="190">
        <v>0</v>
      </c>
      <c r="AW42" s="145">
        <f>IF(AS42&gt;AV39,3,IF(AS42=AV39,1,0))+IF(AT42&gt;AV40,3,IF(AT42=AV40,1,0))+IF(AU42&gt;AV41,3,IF(AU42=AV41,1,0))</f>
        <v>3</v>
      </c>
      <c r="AX42" s="261">
        <f>SUM(AS42:AV42)*0</f>
        <v>0</v>
      </c>
      <c r="AY42" s="253">
        <f>SUM(AV39:AV42)*0</f>
        <v>0</v>
      </c>
      <c r="AZ42" s="197">
        <f ca="1">AP42*10000000000000+(500+AQ42-AR42)*10000000000+AQ42*100000000+AW42*1000000+(500+AX42-AY42)*1000+AX42*10+AI42</f>
        <v>5000003500001</v>
      </c>
      <c r="BA42" s="200">
        <f ca="1">RANK(AZ42,AZ39:AZ42)</f>
        <v>4</v>
      </c>
    </row>
    <row r="43" spans="2:53" ht="20.100000000000001" customHeight="1" x14ac:dyDescent="0.4">
      <c r="B43" s="17"/>
      <c r="C43" s="1054"/>
      <c r="D43" s="908" t="str">
        <f ca="1">Taal04!$B$26&amp;" E"</f>
        <v>Groep E</v>
      </c>
      <c r="E43" s="17"/>
      <c r="F43" s="17"/>
      <c r="G43" s="17"/>
      <c r="H43" s="17"/>
      <c r="I43" s="17"/>
      <c r="J43" s="17"/>
      <c r="K43" s="17"/>
      <c r="L43" s="17"/>
      <c r="M43" s="17"/>
      <c r="N43" s="908" t="str">
        <f ca="1">Taal04!$B$26&amp;" F"</f>
        <v>Groep F</v>
      </c>
      <c r="O43" s="17"/>
      <c r="P43" s="17"/>
      <c r="Q43" s="17"/>
      <c r="R43" s="17"/>
      <c r="S43" s="17"/>
      <c r="T43" s="17"/>
      <c r="U43" s="17"/>
      <c r="V43" s="17"/>
      <c r="W43" s="1055"/>
      <c r="X43" s="17"/>
      <c r="Y43" s="1233" t="str">
        <f ca="1">"Controle "&amp;D43</f>
        <v>Controle Groep E</v>
      </c>
      <c r="Z43" s="1233"/>
      <c r="AA43" s="1233"/>
      <c r="AB43" s="1233" t="str">
        <f ca="1">"Controle "&amp;N43</f>
        <v>Controle Groep F</v>
      </c>
      <c r="AC43" s="1233"/>
      <c r="AD43" s="1233"/>
      <c r="AE43" s="41"/>
      <c r="AF43" s="235">
        <v>33</v>
      </c>
      <c r="AG43" s="107" t="str">
        <f t="shared" ca="1" si="0"/>
        <v>FOUT</v>
      </c>
      <c r="AH43" s="1230"/>
      <c r="AI43" s="1230"/>
      <c r="AJ43" s="479" t="s">
        <v>231</v>
      </c>
      <c r="AK43" s="71" t="str">
        <f>IF(COUNTIF(AB35:AB40,"GOED")=6,"JA","NEE")</f>
        <v>NEE</v>
      </c>
      <c r="AL43" s="193"/>
      <c r="AM43" s="193"/>
      <c r="AN43" s="193"/>
      <c r="AO43" s="193"/>
      <c r="AP43" s="70"/>
      <c r="AQ43" s="193"/>
      <c r="AR43" s="193"/>
      <c r="AS43" s="172"/>
      <c r="AT43" s="172"/>
      <c r="AU43" s="172"/>
      <c r="AV43" s="172"/>
      <c r="AW43" s="381"/>
      <c r="AX43" s="172"/>
      <c r="AY43" s="172"/>
      <c r="AZ43" s="172"/>
      <c r="BA43" s="71"/>
    </row>
    <row r="44" spans="2:53" ht="15" customHeight="1" x14ac:dyDescent="0.25">
      <c r="B44" s="17"/>
      <c r="C44" s="1054"/>
      <c r="D44" s="108"/>
      <c r="E44" s="1038" t="str">
        <f ca="1">Taal04!$B$20</f>
        <v>Datum</v>
      </c>
      <c r="F44" s="1038" t="str">
        <f ca="1">Taal04!$B$21</f>
        <v>Tijd</v>
      </c>
      <c r="G44" s="1234" t="str">
        <f ca="1">Taal04!$B$22</f>
        <v>Wedstrijd</v>
      </c>
      <c r="H44" s="1234"/>
      <c r="I44" s="1234"/>
      <c r="J44" s="1234" t="str">
        <f ca="1">Taal04!$B$23</f>
        <v>TOTO</v>
      </c>
      <c r="K44" s="1235"/>
      <c r="L44" s="1235"/>
      <c r="M44" s="17"/>
      <c r="N44" s="108"/>
      <c r="O44" s="1038" t="str">
        <f ca="1">Taal04!$B$20</f>
        <v>Datum</v>
      </c>
      <c r="P44" s="1038" t="str">
        <f ca="1">Taal04!$B$21</f>
        <v>Tijd</v>
      </c>
      <c r="Q44" s="1234" t="str">
        <f ca="1">Taal04!$B$22</f>
        <v>Wedstrijd</v>
      </c>
      <c r="R44" s="1234"/>
      <c r="S44" s="1234"/>
      <c r="T44" s="1234" t="str">
        <f ca="1">Taal04!$B$23</f>
        <v>TOTO</v>
      </c>
      <c r="U44" s="1235"/>
      <c r="V44" s="1235"/>
      <c r="W44" s="1055"/>
      <c r="X44" s="17"/>
      <c r="Y44" s="4" t="s">
        <v>234</v>
      </c>
      <c r="Z44" s="4"/>
      <c r="AA44" s="139" t="s">
        <v>0</v>
      </c>
      <c r="AB44" s="4" t="s">
        <v>234</v>
      </c>
      <c r="AC44" s="4"/>
      <c r="AD44" s="139" t="s">
        <v>0</v>
      </c>
      <c r="AE44" s="41"/>
      <c r="AF44" s="235">
        <v>34</v>
      </c>
      <c r="AG44" s="107" t="str">
        <f t="shared" ca="1" si="0"/>
        <v>FOUT</v>
      </c>
      <c r="AH44" s="1230"/>
      <c r="AI44" s="1230"/>
      <c r="AJ44" s="523"/>
      <c r="AK44" s="1230" t="s">
        <v>176</v>
      </c>
      <c r="AL44" s="1231" t="str">
        <f ca="1">AJ48</f>
        <v>België</v>
      </c>
      <c r="AM44" s="1231" t="str">
        <f ca="1">AJ49</f>
        <v>Slowakije</v>
      </c>
      <c r="AN44" s="1231" t="str">
        <f ca="1">AJ50</f>
        <v>Roemenië</v>
      </c>
      <c r="AO44" s="1231" t="str">
        <f ca="1">AJ51</f>
        <v>Oekraïne</v>
      </c>
      <c r="AP44" s="1230" t="s">
        <v>99</v>
      </c>
      <c r="AQ44" s="1236" t="s">
        <v>175</v>
      </c>
      <c r="AR44" s="1236" t="s">
        <v>174</v>
      </c>
      <c r="AS44" s="1231" t="str">
        <f ca="1">"Gelijk met "&amp;AH48</f>
        <v>Gelijk met E1</v>
      </c>
      <c r="AT44" s="1231" t="str">
        <f ca="1">"Gelijk met "&amp;AH49</f>
        <v>Gelijk met E2</v>
      </c>
      <c r="AU44" s="1231" t="str">
        <f ca="1">"Gelijk met "&amp;AH50</f>
        <v>Gelijk met E3</v>
      </c>
      <c r="AV44" s="1231" t="str">
        <f ca="1">"Gelijk met "&amp;AH51</f>
        <v>Gelijk met E4</v>
      </c>
      <c r="AW44" s="1231" t="s">
        <v>99</v>
      </c>
      <c r="AX44" s="1236" t="s">
        <v>175</v>
      </c>
      <c r="AY44" s="1236" t="s">
        <v>174</v>
      </c>
      <c r="AZ44" s="1230" t="s">
        <v>232</v>
      </c>
      <c r="BA44" s="1230" t="s">
        <v>71</v>
      </c>
    </row>
    <row r="45" spans="2:53" ht="15" customHeight="1" x14ac:dyDescent="0.25">
      <c r="B45" s="17"/>
      <c r="C45" s="1054"/>
      <c r="D45" s="6">
        <v>10</v>
      </c>
      <c r="E45" s="11">
        <f>DATE(2024,6,17)+TIME(15,0,0)</f>
        <v>45460.625</v>
      </c>
      <c r="F45" s="135">
        <f t="shared" ref="F45:F50" si="13">E45+TIME(0,0,0)</f>
        <v>45460.625</v>
      </c>
      <c r="G45" s="8" t="str">
        <f ca="1">AJ50</f>
        <v>Roemenië</v>
      </c>
      <c r="H45" s="7" t="s">
        <v>12</v>
      </c>
      <c r="I45" s="346" t="str">
        <f ca="1">AJ51</f>
        <v>Oekraïne</v>
      </c>
      <c r="J45" s="1256"/>
      <c r="K45" s="1256"/>
      <c r="L45" s="1256"/>
      <c r="M45" s="9"/>
      <c r="N45" s="6">
        <v>11</v>
      </c>
      <c r="O45" s="11">
        <f>DATE(2024,6,18)+TIME(18,0,0)</f>
        <v>45461.75</v>
      </c>
      <c r="P45" s="135">
        <f t="shared" ref="P45:P50" si="14">O45+TIME(0,0,0)</f>
        <v>45461.75</v>
      </c>
      <c r="Q45" s="8" t="str">
        <f ca="1">AJ57</f>
        <v>Turkije</v>
      </c>
      <c r="R45" s="7" t="s">
        <v>12</v>
      </c>
      <c r="S45" s="346" t="str">
        <f ca="1">AJ58</f>
        <v>Georgië</v>
      </c>
      <c r="T45" s="1256"/>
      <c r="U45" s="1256"/>
      <c r="V45" s="1256"/>
      <c r="W45" s="1055"/>
      <c r="X45" s="17"/>
      <c r="Y45" s="4" t="str">
        <f t="shared" ref="Y45:Y50" si="15">IF(ISBLANK(J45),"LEEG",IF(OR(J45=1,J45=2,J45=3),"GOED","ONGELDIG"))</f>
        <v>LEEG</v>
      </c>
      <c r="Z45" s="4"/>
      <c r="AA45" s="139" t="str">
        <f t="shared" ref="AA45:AA50" si="16">IF(Y45="GOED",J45&amp;"|","FOUT")</f>
        <v>FOUT</v>
      </c>
      <c r="AB45" s="4" t="str">
        <f t="shared" ref="AB45:AB50" si="17">IF(ISBLANK(T45),"LEEG",IF(OR(T45=1,T45=2,T45=3),"GOED","ONGELDIG"))</f>
        <v>LEEG</v>
      </c>
      <c r="AC45" s="4"/>
      <c r="AD45" s="139" t="str">
        <f t="shared" ref="AD45:AD50" si="18">IF(AB45="GOED",T45&amp;"|","FOUT")</f>
        <v>FOUT</v>
      </c>
      <c r="AE45" s="41"/>
      <c r="AF45" s="235">
        <v>35</v>
      </c>
      <c r="AG45" s="107" t="str">
        <f t="shared" ca="1" si="0"/>
        <v>FOUT</v>
      </c>
      <c r="AH45" s="1230"/>
      <c r="AI45" s="1230"/>
      <c r="AJ45" s="523"/>
      <c r="AK45" s="1230"/>
      <c r="AL45" s="1231"/>
      <c r="AM45" s="1231"/>
      <c r="AN45" s="1231"/>
      <c r="AO45" s="1231"/>
      <c r="AP45" s="1230"/>
      <c r="AQ45" s="1236"/>
      <c r="AR45" s="1236"/>
      <c r="AS45" s="1231"/>
      <c r="AT45" s="1231"/>
      <c r="AU45" s="1231"/>
      <c r="AV45" s="1231"/>
      <c r="AW45" s="1231"/>
      <c r="AX45" s="1236"/>
      <c r="AY45" s="1236"/>
      <c r="AZ45" s="1230"/>
      <c r="BA45" s="1230"/>
    </row>
    <row r="46" spans="2:53" ht="15" customHeight="1" x14ac:dyDescent="0.25">
      <c r="B46" s="17"/>
      <c r="C46" s="1054"/>
      <c r="D46" s="6" t="str">
        <f>"09"</f>
        <v>09</v>
      </c>
      <c r="E46" s="11">
        <f>DATE(2024,6,17)+TIME(18,0,0)</f>
        <v>45460.75</v>
      </c>
      <c r="F46" s="135">
        <f t="shared" si="13"/>
        <v>45460.75</v>
      </c>
      <c r="G46" s="8" t="str">
        <f ca="1">AJ48</f>
        <v>België</v>
      </c>
      <c r="H46" s="7" t="s">
        <v>12</v>
      </c>
      <c r="I46" s="346" t="str">
        <f ca="1">AJ49</f>
        <v>Slowakije</v>
      </c>
      <c r="J46" s="1256"/>
      <c r="K46" s="1256"/>
      <c r="L46" s="1256"/>
      <c r="M46" s="9"/>
      <c r="N46" s="6">
        <v>12</v>
      </c>
      <c r="O46" s="11">
        <f>DATE(2024,6,18)+TIME(21,0,0)</f>
        <v>45461.875</v>
      </c>
      <c r="P46" s="135">
        <f t="shared" si="14"/>
        <v>45461.875</v>
      </c>
      <c r="Q46" s="8" t="str">
        <f ca="1">AJ59</f>
        <v>Portugal</v>
      </c>
      <c r="R46" s="7" t="s">
        <v>12</v>
      </c>
      <c r="S46" s="346" t="str">
        <f ca="1">AJ60</f>
        <v>Tsjechië</v>
      </c>
      <c r="T46" s="1256"/>
      <c r="U46" s="1256"/>
      <c r="V46" s="1256"/>
      <c r="W46" s="1055"/>
      <c r="X46" s="17"/>
      <c r="Y46" s="4" t="str">
        <f t="shared" si="15"/>
        <v>LEEG</v>
      </c>
      <c r="Z46" s="4"/>
      <c r="AA46" s="139" t="str">
        <f t="shared" si="16"/>
        <v>FOUT</v>
      </c>
      <c r="AB46" s="4" t="str">
        <f>IF(ISBLANK(T46),"LEEG",IF(OR(T46=1,T46=2,T46=3),"GOED","ONGELDIG"))</f>
        <v>LEEG</v>
      </c>
      <c r="AC46" s="4"/>
      <c r="AD46" s="139" t="str">
        <f t="shared" si="18"/>
        <v>FOUT</v>
      </c>
      <c r="AE46" s="41"/>
      <c r="AF46" s="235">
        <v>36</v>
      </c>
      <c r="AG46" s="107" t="str">
        <f t="shared" ca="1" si="0"/>
        <v>FOUT</v>
      </c>
      <c r="AH46" s="1230"/>
      <c r="AI46" s="1230"/>
      <c r="AJ46" s="480" t="str">
        <f ca="1">D43</f>
        <v>Groep E</v>
      </c>
      <c r="AK46" s="1230"/>
      <c r="AL46" s="1231"/>
      <c r="AM46" s="1231"/>
      <c r="AN46" s="1231"/>
      <c r="AO46" s="1231"/>
      <c r="AP46" s="1230"/>
      <c r="AQ46" s="1236"/>
      <c r="AR46" s="1236"/>
      <c r="AS46" s="1231"/>
      <c r="AT46" s="1231"/>
      <c r="AU46" s="1231"/>
      <c r="AV46" s="1231"/>
      <c r="AW46" s="1231"/>
      <c r="AX46" s="1236"/>
      <c r="AY46" s="1236"/>
      <c r="AZ46" s="1230"/>
      <c r="BA46" s="1230"/>
    </row>
    <row r="47" spans="2:53" ht="15" customHeight="1" x14ac:dyDescent="0.25">
      <c r="B47" s="17"/>
      <c r="C47" s="1054"/>
      <c r="D47" s="6">
        <v>21</v>
      </c>
      <c r="E47" s="11">
        <f>DATE(2024,6,21)+TIME(15,0,0)</f>
        <v>45464.625</v>
      </c>
      <c r="F47" s="135">
        <f t="shared" si="13"/>
        <v>45464.625</v>
      </c>
      <c r="G47" s="8" t="str">
        <f ca="1">AJ49</f>
        <v>Slowakije</v>
      </c>
      <c r="H47" s="7" t="s">
        <v>12</v>
      </c>
      <c r="I47" s="346" t="str">
        <f ca="1">AJ51</f>
        <v>Oekraïne</v>
      </c>
      <c r="J47" s="1256"/>
      <c r="K47" s="1256"/>
      <c r="L47" s="1256"/>
      <c r="M47" s="9"/>
      <c r="N47" s="6">
        <v>24</v>
      </c>
      <c r="O47" s="11">
        <f>DATE(2024,6,22)+TIME(15,0,0)</f>
        <v>45465.625</v>
      </c>
      <c r="P47" s="135">
        <f>O47+TIME(0,0,0)</f>
        <v>45465.625</v>
      </c>
      <c r="Q47" s="8" t="str">
        <f ca="1">AJ58</f>
        <v>Georgië</v>
      </c>
      <c r="R47" s="7" t="s">
        <v>12</v>
      </c>
      <c r="S47" s="346" t="str">
        <f ca="1">AJ60</f>
        <v>Tsjechië</v>
      </c>
      <c r="T47" s="1256"/>
      <c r="U47" s="1256"/>
      <c r="V47" s="1256"/>
      <c r="W47" s="1055"/>
      <c r="X47" s="17"/>
      <c r="Y47" s="402" t="str">
        <f t="shared" si="15"/>
        <v>LEEG</v>
      </c>
      <c r="Z47" s="402"/>
      <c r="AA47" s="478" t="str">
        <f t="shared" si="16"/>
        <v>FOUT</v>
      </c>
      <c r="AB47" s="402" t="str">
        <f>IF(ISBLANK(T47),"LEEG",IF(OR(T47=1,T47=2,T47=3),"GOED","ONGELDIG"))</f>
        <v>LEEG</v>
      </c>
      <c r="AC47" s="402"/>
      <c r="AD47" s="478" t="str">
        <f>IF(AB47="GOED",T47&amp;"|","FOUT")</f>
        <v>FOUT</v>
      </c>
      <c r="AE47" s="107"/>
      <c r="AF47" s="235">
        <v>37</v>
      </c>
      <c r="AG47" s="107" t="str">
        <f t="shared" ca="1" si="0"/>
        <v>ERROR</v>
      </c>
      <c r="AH47" s="1230"/>
      <c r="AI47" s="1230"/>
      <c r="AJ47" s="479" t="s">
        <v>17</v>
      </c>
      <c r="AK47" s="1230"/>
      <c r="AL47" s="1231"/>
      <c r="AM47" s="1231"/>
      <c r="AN47" s="1231"/>
      <c r="AO47" s="1231"/>
      <c r="AP47" s="1230"/>
      <c r="AQ47" s="1236"/>
      <c r="AR47" s="1236"/>
      <c r="AS47" s="1231"/>
      <c r="AT47" s="1231"/>
      <c r="AU47" s="1231"/>
      <c r="AV47" s="1231"/>
      <c r="AW47" s="1231"/>
      <c r="AX47" s="1236"/>
      <c r="AY47" s="1236"/>
      <c r="AZ47" s="1230"/>
      <c r="BA47" s="1230"/>
    </row>
    <row r="48" spans="2:53" ht="15" customHeight="1" x14ac:dyDescent="0.25">
      <c r="B48" s="17"/>
      <c r="C48" s="1054"/>
      <c r="D48" s="6">
        <v>22</v>
      </c>
      <c r="E48" s="11">
        <f>DATE(2024,6,22)+TIME(21,0,0)</f>
        <v>45465.875</v>
      </c>
      <c r="F48" s="135">
        <f t="shared" si="13"/>
        <v>45465.875</v>
      </c>
      <c r="G48" s="8" t="str">
        <f ca="1">AJ48</f>
        <v>België</v>
      </c>
      <c r="H48" s="7" t="s">
        <v>12</v>
      </c>
      <c r="I48" s="346" t="str">
        <f ca="1">AJ50</f>
        <v>Roemenië</v>
      </c>
      <c r="J48" s="1256"/>
      <c r="K48" s="1256"/>
      <c r="L48" s="1256"/>
      <c r="M48" s="9"/>
      <c r="N48" s="6">
        <v>23</v>
      </c>
      <c r="O48" s="11">
        <f>DATE(2024,6,22)+TIME(18,0,0)</f>
        <v>45465.75</v>
      </c>
      <c r="P48" s="135">
        <f>O48+TIME(0,0,0)</f>
        <v>45465.75</v>
      </c>
      <c r="Q48" s="8" t="str">
        <f ca="1">AJ57</f>
        <v>Turkije</v>
      </c>
      <c r="R48" s="7" t="s">
        <v>12</v>
      </c>
      <c r="S48" s="346" t="str">
        <f ca="1">AJ59</f>
        <v>Portugal</v>
      </c>
      <c r="T48" s="1256"/>
      <c r="U48" s="1256"/>
      <c r="V48" s="1256"/>
      <c r="W48" s="1055"/>
      <c r="X48" s="17"/>
      <c r="Y48" s="402" t="str">
        <f t="shared" si="15"/>
        <v>LEEG</v>
      </c>
      <c r="Z48" s="402"/>
      <c r="AA48" s="478" t="str">
        <f t="shared" si="16"/>
        <v>FOUT</v>
      </c>
      <c r="AB48" s="402" t="str">
        <f>IF(ISBLANK(T48),"LEEG",IF(OR(T48=1,T48=2,T48=3),"GOED","ONGELDIG"))</f>
        <v>LEEG</v>
      </c>
      <c r="AC48" s="402"/>
      <c r="AD48" s="478" t="str">
        <f>IF(AB48="GOED",T48&amp;"|","FOUT")</f>
        <v>FOUT</v>
      </c>
      <c r="AE48" s="107"/>
      <c r="AF48" s="235">
        <v>38</v>
      </c>
      <c r="AG48" s="107" t="str">
        <f ca="1">IF(TYPE(VLOOKUP(AF48,$D$25:$D$60,1,FALSE)*1)=1,VLOOKUP(AF48,$D$25:$AA$60,24,FALSE),IF(TYPE(VLOOKUP(AF48,$N$25:$N$60,1,FALSE)*1)=1,VLOOKUP(AF48,$N$25:$AD$60,17,FALSE),"ERROR"))</f>
        <v>ERROR</v>
      </c>
      <c r="AH48" s="161" t="str">
        <f ca="1">RIGHT(AJ46,1)&amp;1</f>
        <v>E1</v>
      </c>
      <c r="AI48" s="158">
        <f ca="1">$AU$87</f>
        <v>1</v>
      </c>
      <c r="AJ48" s="481" t="str">
        <f ca="1">VLOOKUP(AH48,Voorblad!$X$67:$Z$98,2,FALSE)</f>
        <v>België</v>
      </c>
      <c r="AK48" s="151" t="str">
        <f ca="1">VLOOKUP(AH48,Voorblad!$X$67:$Z$98,3,FALSE)</f>
        <v>BE</v>
      </c>
      <c r="AL48" s="249">
        <v>0</v>
      </c>
      <c r="AM48" s="437">
        <f>IF(ISNUMBER(J46),IF(J46=1,3,IF(J46=3,1,0)),0)</f>
        <v>0</v>
      </c>
      <c r="AN48" s="437">
        <f>IF(ISNUMBER(J48),IF(J48=1,3,IF(J48=3,1,0)),0)</f>
        <v>0</v>
      </c>
      <c r="AO48" s="437">
        <f>IF(ISNUMBER(J50),IF(J50=2,3,IF(J50=3,1,0)),0)</f>
        <v>0</v>
      </c>
      <c r="AP48" s="149">
        <f>IF(AA46&lt;&gt;"FOUT",IF(AM48&gt;AL49,3,IF(AM48=AL49,1,0)),0)+IF(AA48&lt;&gt;"FOUT",IF(AN48&gt;AL50,3,IF(AN48=AL50,1,0)),0)+IF(AA50&lt;&gt;"FOUT",IF(AO48&gt;AL51,3,IF(AO48=AL51,1,0)),0)</f>
        <v>0</v>
      </c>
      <c r="AQ48" s="255">
        <f>SUM(AL48:AO48)*0</f>
        <v>0</v>
      </c>
      <c r="AR48" s="256">
        <f>SUM(AL48:AL51)*0</f>
        <v>0</v>
      </c>
      <c r="AS48" s="192">
        <v>0</v>
      </c>
      <c r="AT48" s="150">
        <f>IF($AP48=$AP49,AM48,0)</f>
        <v>0</v>
      </c>
      <c r="AU48" s="150">
        <f>IF($AP48=$AP50,AN48,0)</f>
        <v>0</v>
      </c>
      <c r="AV48" s="188">
        <f>IF($AP48=$AP51,AO48,0)</f>
        <v>0</v>
      </c>
      <c r="AW48" s="149">
        <f>IF(AT48&gt;AS49,3,IF(AT48=AS49,1,0))+IF(AU48&gt;AS50,3,IF(AU48=AS50,1,0))+IF(AV48&gt;AS51,3,IF(AV48=AS51,1,0))</f>
        <v>3</v>
      </c>
      <c r="AX48" s="255">
        <f>SUM(AS48:AV48)*0</f>
        <v>0</v>
      </c>
      <c r="AY48" s="250">
        <f>SUM(AS48:AS51)*0</f>
        <v>0</v>
      </c>
      <c r="AZ48" s="195">
        <f ca="1">AP48*10000000000000+(500+AQ48-AR48)*10000000000+AQ48*100000000+AW48*1000000+(500+AX48-AY48)*1000+AX48*10+AI48</f>
        <v>5000003500001</v>
      </c>
      <c r="BA48" s="198">
        <f ca="1">RANK(AZ48,AZ48:AZ51)</f>
        <v>4</v>
      </c>
    </row>
    <row r="49" spans="1:54" ht="15" customHeight="1" x14ac:dyDescent="0.25">
      <c r="B49" s="17"/>
      <c r="C49" s="1054"/>
      <c r="D49" s="6">
        <v>33</v>
      </c>
      <c r="E49" s="471">
        <f>DATE(2024,6,26)+TIME(18,0,0)</f>
        <v>45469.75</v>
      </c>
      <c r="F49" s="135">
        <f t="shared" si="13"/>
        <v>45469.75</v>
      </c>
      <c r="G49" s="8" t="str">
        <f ca="1">AJ49</f>
        <v>Slowakije</v>
      </c>
      <c r="H49" s="7" t="s">
        <v>12</v>
      </c>
      <c r="I49" s="346" t="str">
        <f ca="1">AJ50</f>
        <v>Roemenië</v>
      </c>
      <c r="J49" s="1256"/>
      <c r="K49" s="1256"/>
      <c r="L49" s="1256"/>
      <c r="M49" s="9"/>
      <c r="N49" s="6">
        <v>35</v>
      </c>
      <c r="O49" s="471">
        <f>DATE(2024,6,26)+TIME(21,0,0)</f>
        <v>45469.875</v>
      </c>
      <c r="P49" s="135">
        <f t="shared" si="14"/>
        <v>45469.875</v>
      </c>
      <c r="Q49" s="8" t="str">
        <f ca="1">AJ58</f>
        <v>Georgië</v>
      </c>
      <c r="R49" s="7" t="s">
        <v>12</v>
      </c>
      <c r="S49" s="346" t="str">
        <f ca="1">AJ59</f>
        <v>Portugal</v>
      </c>
      <c r="T49" s="1256"/>
      <c r="U49" s="1256"/>
      <c r="V49" s="1256"/>
      <c r="W49" s="1055"/>
      <c r="X49" s="17"/>
      <c r="Y49" s="402" t="str">
        <f t="shared" si="15"/>
        <v>LEEG</v>
      </c>
      <c r="Z49" s="402"/>
      <c r="AA49" s="478" t="str">
        <f t="shared" si="16"/>
        <v>FOUT</v>
      </c>
      <c r="AB49" s="402" t="str">
        <f t="shared" si="17"/>
        <v>LEEG</v>
      </c>
      <c r="AC49" s="402"/>
      <c r="AD49" s="478" t="str">
        <f t="shared" si="18"/>
        <v>FOUT</v>
      </c>
      <c r="AE49" s="107"/>
      <c r="AF49" s="235">
        <v>39</v>
      </c>
      <c r="AG49" s="107" t="str">
        <f t="shared" ca="1" si="0"/>
        <v>ERROR</v>
      </c>
      <c r="AH49" s="161" t="str">
        <f ca="1">RIGHT(AJ46,1)&amp;2</f>
        <v>E2</v>
      </c>
      <c r="AI49" s="158">
        <f ca="1">$AV$87</f>
        <v>4</v>
      </c>
      <c r="AJ49" s="487" t="str">
        <f ca="1">VLOOKUP(AH49,Voorblad!$X$67:$Z$98,2,FALSE)</f>
        <v>Slowakije</v>
      </c>
      <c r="AK49" s="111" t="str">
        <f ca="1">VLOOKUP(AH49,Voorblad!$X$67:$Z$98,3,FALSE)</f>
        <v>SK</v>
      </c>
      <c r="AL49" s="435">
        <f>IF(ISNUMBER(J46),IF(J46=2,3,IF(J46=3,1,0)),0)</f>
        <v>0</v>
      </c>
      <c r="AM49" s="251">
        <v>0</v>
      </c>
      <c r="AN49" s="436">
        <f>IF(ISNUMBER(J49),IF(J49=1,3,IF(J49=3,1,0)),0)</f>
        <v>0</v>
      </c>
      <c r="AO49" s="436">
        <f>IF(ISNUMBER(J47),IF(J47=1,3,IF(J47=3,1,0)),0)</f>
        <v>0</v>
      </c>
      <c r="AP49" s="148">
        <f>IF(AA46&lt;&gt;"FOUT",IF(AL49&gt;AM48,3,IF(AL49=AM48,1,0)),0)+IF(AA49&lt;&gt;"FOUT",IF(AN49&gt;AM50,3,IF(AN49=AM50,1,0)),0)+IF(AA47&lt;&gt;"FOUT",IF(AO49&gt;AM51,3,IF(AO49=AM51,1,0)),0)</f>
        <v>0</v>
      </c>
      <c r="AQ49" s="258">
        <f>SUM(AL49:AO49)*0</f>
        <v>0</v>
      </c>
      <c r="AR49" s="259">
        <f>SUM(AM48:AM51)*0</f>
        <v>0</v>
      </c>
      <c r="AS49" s="111">
        <f>IF($AP49=$AP48,AL49,0)</f>
        <v>0</v>
      </c>
      <c r="AT49" s="191">
        <v>0</v>
      </c>
      <c r="AU49" s="70">
        <f>IF($AP49=$AP50,AN49,0)</f>
        <v>0</v>
      </c>
      <c r="AV49" s="189">
        <f>IF($AP49=$AP51,AO49,0)</f>
        <v>0</v>
      </c>
      <c r="AW49" s="148">
        <f>IF(AS49&gt;AT48,3,IF(AS49=AT48,1,0))+IF(AU49&gt;AT50,3,IF(AU49=AT50,1,0))+IF(AV49&gt;AT51,3,IF(AV49=AT51,1,0))</f>
        <v>3</v>
      </c>
      <c r="AX49" s="258">
        <f>SUM(AS49:AV49)*0</f>
        <v>0</v>
      </c>
      <c r="AY49" s="252">
        <f>SUM(AT48:AT51)*0</f>
        <v>0</v>
      </c>
      <c r="AZ49" s="196">
        <f ca="1">AP49*10000000000000+(500+AQ49-AR49)*10000000000+AQ49*100000000+AW49*1000000+(500+AX49-AY49)*1000+AX49*10+AI49</f>
        <v>5000003500004</v>
      </c>
      <c r="BA49" s="199">
        <f ca="1">RANK(AZ49,AZ48:AZ51)</f>
        <v>1</v>
      </c>
    </row>
    <row r="50" spans="1:54" ht="15" customHeight="1" x14ac:dyDescent="0.25">
      <c r="B50" s="17"/>
      <c r="C50" s="1054"/>
      <c r="D50" s="6">
        <v>34</v>
      </c>
      <c r="E50" s="471">
        <f>E49</f>
        <v>45469.75</v>
      </c>
      <c r="F50" s="135">
        <f t="shared" si="13"/>
        <v>45469.75</v>
      </c>
      <c r="G50" s="8" t="str">
        <f ca="1">AJ51</f>
        <v>Oekraïne</v>
      </c>
      <c r="H50" s="7" t="s">
        <v>12</v>
      </c>
      <c r="I50" s="346" t="str">
        <f ca="1">AJ48</f>
        <v>België</v>
      </c>
      <c r="J50" s="1256"/>
      <c r="K50" s="1256"/>
      <c r="L50" s="1256"/>
      <c r="M50" s="9"/>
      <c r="N50" s="6">
        <v>36</v>
      </c>
      <c r="O50" s="471">
        <f>O49</f>
        <v>45469.875</v>
      </c>
      <c r="P50" s="135">
        <f t="shared" si="14"/>
        <v>45469.875</v>
      </c>
      <c r="Q50" s="8" t="str">
        <f ca="1">AJ60</f>
        <v>Tsjechië</v>
      </c>
      <c r="R50" s="7" t="s">
        <v>12</v>
      </c>
      <c r="S50" s="346" t="str">
        <f ca="1">AJ57</f>
        <v>Turkije</v>
      </c>
      <c r="T50" s="1256"/>
      <c r="U50" s="1256"/>
      <c r="V50" s="1256"/>
      <c r="W50" s="1055"/>
      <c r="X50" s="17"/>
      <c r="Y50" s="402" t="str">
        <f t="shared" si="15"/>
        <v>LEEG</v>
      </c>
      <c r="Z50" s="402"/>
      <c r="AA50" s="478" t="str">
        <f t="shared" si="16"/>
        <v>FOUT</v>
      </c>
      <c r="AB50" s="402" t="str">
        <f t="shared" si="17"/>
        <v>LEEG</v>
      </c>
      <c r="AC50" s="402"/>
      <c r="AD50" s="478" t="str">
        <f t="shared" si="18"/>
        <v>FOUT</v>
      </c>
      <c r="AE50" s="107"/>
      <c r="AF50" s="235">
        <v>40</v>
      </c>
      <c r="AG50" s="107" t="str">
        <f t="shared" ca="1" si="0"/>
        <v>ERROR</v>
      </c>
      <c r="AH50" s="161" t="str">
        <f ca="1">RIGHT(AJ46,1)&amp;3</f>
        <v>E3</v>
      </c>
      <c r="AI50" s="158">
        <f ca="1">$AW$87</f>
        <v>3</v>
      </c>
      <c r="AJ50" s="487" t="str">
        <f ca="1">VLOOKUP(AH50,Voorblad!$X$67:$Z$98,2,FALSE)</f>
        <v>Roemenië</v>
      </c>
      <c r="AK50" s="111" t="str">
        <f ca="1">VLOOKUP(AH50,Voorblad!$X$67:$Z$98,3,FALSE)</f>
        <v>RO</v>
      </c>
      <c r="AL50" s="435">
        <f>IF(ISNUMBER(J48),IF(J48=2,3,IF(J48=3,1,0)),0)</f>
        <v>0</v>
      </c>
      <c r="AM50" s="436">
        <f>IF(ISNUMBER(J49),IF(J49=2,3,IF(J49=3,1,0)),0)</f>
        <v>0</v>
      </c>
      <c r="AN50" s="251">
        <v>0</v>
      </c>
      <c r="AO50" s="436">
        <f>IF(ISNUMBER(J45),IF(J45=1,3,IF(J45=3,1,0)),0)</f>
        <v>0</v>
      </c>
      <c r="AP50" s="148">
        <f>IF(AA48&lt;&gt;"FOUT",IF(AL50&gt;AN48,3,IF(AL50=AN48,1,0)),0)+IF(AA49&lt;&gt;"FOUT",IF(AM50&gt;AN49,3,IF(AM50=AN49,1,0)),0)+IF(AA45&lt;&gt;"FOUT",IF(AO50&gt;AN51,3,IF(AO50=AN51,1,0)),0)</f>
        <v>0</v>
      </c>
      <c r="AQ50" s="258">
        <f>SUM(AL50:AO50)*0</f>
        <v>0</v>
      </c>
      <c r="AR50" s="259">
        <f>SUM(AN48:AN51)*0</f>
        <v>0</v>
      </c>
      <c r="AS50" s="111">
        <f>IF($AP50=$AP48,AL50,0)</f>
        <v>0</v>
      </c>
      <c r="AT50" s="70">
        <f>IF($AP50=$AP49,AM50,0)</f>
        <v>0</v>
      </c>
      <c r="AU50" s="191">
        <v>0</v>
      </c>
      <c r="AV50" s="189">
        <f>IF($AP50=$AP51,AO50,0)</f>
        <v>0</v>
      </c>
      <c r="AW50" s="148">
        <f>IF(AS50&gt;AU48,3,IF(AS50=AU48,1,0))+IF(AT50&gt;AU49,3,IF(AT50=AU49,1,0))+IF(AV50&gt;AU51,3,IF(AV50=AU51,1,0))</f>
        <v>3</v>
      </c>
      <c r="AX50" s="258">
        <f>SUM(AS50:AV50)*0</f>
        <v>0</v>
      </c>
      <c r="AY50" s="252">
        <f>SUM(AU48:AU51)*0</f>
        <v>0</v>
      </c>
      <c r="AZ50" s="196">
        <f ca="1">AP50*10000000000000+(500+AQ50-AR50)*10000000000+AQ50*100000000+AW50*1000000+(500+AX50-AY50)*1000+AX50*10+AI50</f>
        <v>5000003500003</v>
      </c>
      <c r="BA50" s="199">
        <f ca="1">RANK(AZ50,AZ48:AZ51)</f>
        <v>2</v>
      </c>
    </row>
    <row r="51" spans="1:54" ht="15" customHeight="1" x14ac:dyDescent="0.25">
      <c r="B51" s="17"/>
      <c r="C51" s="1054"/>
      <c r="D51" s="369"/>
      <c r="E51" s="366"/>
      <c r="F51" s="232"/>
      <c r="G51" s="233"/>
      <c r="H51" s="367"/>
      <c r="I51" s="234"/>
      <c r="J51" s="17"/>
      <c r="K51" s="17"/>
      <c r="L51" s="1041" t="str">
        <f ca="1">Taal04!$B$33</f>
        <v>1 winst voor de thuisploeg, 2 winst voor de uitploeg, 3 gelijkspel</v>
      </c>
      <c r="M51" s="9"/>
      <c r="N51" s="369"/>
      <c r="O51" s="366"/>
      <c r="P51" s="232"/>
      <c r="Q51" s="233"/>
      <c r="R51" s="367"/>
      <c r="S51" s="234"/>
      <c r="T51" s="17"/>
      <c r="U51" s="17"/>
      <c r="V51" s="1041" t="str">
        <f ca="1">Taal04!$B$33</f>
        <v>1 winst voor de thuisploeg, 2 winst voor de uitploeg, 3 gelijkspel</v>
      </c>
      <c r="W51" s="1055"/>
      <c r="X51" s="17"/>
      <c r="Y51" s="402"/>
      <c r="Z51" s="402"/>
      <c r="AA51" s="478"/>
      <c r="AB51" s="402"/>
      <c r="AC51" s="402"/>
      <c r="AD51" s="478"/>
      <c r="AE51" s="107"/>
      <c r="AF51" s="235">
        <v>41</v>
      </c>
      <c r="AG51" s="107" t="str">
        <f t="shared" ca="1" si="0"/>
        <v>ERROR</v>
      </c>
      <c r="AH51" s="161" t="str">
        <f ca="1">RIGHT(AJ46,1)&amp;4</f>
        <v>E4</v>
      </c>
      <c r="AI51" s="158">
        <f ca="1">$AX$87</f>
        <v>2</v>
      </c>
      <c r="AJ51" s="494" t="str">
        <f ca="1">VLOOKUP(AH51,Voorblad!$X$67:$Z$98,2,FALSE)</f>
        <v>Oekraïne</v>
      </c>
      <c r="AK51" s="147" t="str">
        <f ca="1">VLOOKUP(AH51,Voorblad!$X$67:$Z$98,3,FALSE)</f>
        <v>UA</v>
      </c>
      <c r="AL51" s="433">
        <f>IF(ISNUMBER(J50),IF(J50=1,3,IF(J50=3,1,0)),0)</f>
        <v>0</v>
      </c>
      <c r="AM51" s="434">
        <f>IF(ISNUMBER(J47),IF(J47=2,3,IF(J47=3,1,0)),0)</f>
        <v>0</v>
      </c>
      <c r="AN51" s="434">
        <f>IF(ISNUMBER(J45),IF(J45=2,3,IF(J45=3,1,0)),0)</f>
        <v>0</v>
      </c>
      <c r="AO51" s="254">
        <v>0</v>
      </c>
      <c r="AP51" s="463">
        <f>IF(AA50&lt;&gt;"FOUT",IF(AL51&gt;AO48,3,IF(AL51=AO48,1,0)),0)+IF(AA47&lt;&gt;"FOUT",IF(AM51&gt;AO49,3,IF(AM51=AO49,1,0)),0)+IF(AA45&lt;&gt;"FOUT",IF(AN51&gt;AO50,3,IF(AN51=AO50,1,0)),0)</f>
        <v>0</v>
      </c>
      <c r="AQ51" s="261">
        <f>SUM(AL51:AO51)*0</f>
        <v>0</v>
      </c>
      <c r="AR51" s="262">
        <f>SUM(AO48:AO51)*0</f>
        <v>0</v>
      </c>
      <c r="AS51" s="147">
        <f>IF($AP51=$AP48,AL51,0)</f>
        <v>0</v>
      </c>
      <c r="AT51" s="146">
        <f>IF($AP51=$AP49,AM51,0)</f>
        <v>0</v>
      </c>
      <c r="AU51" s="146">
        <f>IF($AP51=$AP50,AN51,0)</f>
        <v>0</v>
      </c>
      <c r="AV51" s="190">
        <v>0</v>
      </c>
      <c r="AW51" s="145">
        <f>IF(AS51&gt;AV48,3,IF(AS51=AV48,1,0))+IF(AT51&gt;AV49,3,IF(AT51=AV49,1,0))+IF(AU51&gt;AV50,3,IF(AU51=AV50,1,0))</f>
        <v>3</v>
      </c>
      <c r="AX51" s="261">
        <f>SUM(AS51:AV51)*0</f>
        <v>0</v>
      </c>
      <c r="AY51" s="253">
        <f>SUM(AV48:AV51)*0</f>
        <v>0</v>
      </c>
      <c r="AZ51" s="197">
        <f ca="1">AP51*10000000000000+(500+AQ51-AR51)*10000000000+AQ51*100000000+AW51*1000000+(500+AX51-AY51)*1000+AX51*10+AI51</f>
        <v>5000003500002</v>
      </c>
      <c r="BA51" s="200">
        <f ca="1">RANK(AZ51,AZ48:AZ51)</f>
        <v>3</v>
      </c>
    </row>
    <row r="52" spans="1:54" ht="15" customHeight="1" x14ac:dyDescent="0.25">
      <c r="B52" s="17"/>
      <c r="C52" s="1054"/>
      <c r="D52" s="401"/>
      <c r="E52" s="401"/>
      <c r="F52" s="401"/>
      <c r="G52" s="401"/>
      <c r="H52" s="401"/>
      <c r="I52" s="401"/>
      <c r="J52" s="17"/>
      <c r="K52" s="17"/>
      <c r="L52" s="17"/>
      <c r="M52" s="17"/>
      <c r="N52" s="401"/>
      <c r="O52" s="401"/>
      <c r="P52" s="401"/>
      <c r="Q52" s="401"/>
      <c r="R52" s="401"/>
      <c r="S52" s="401"/>
      <c r="T52" s="17"/>
      <c r="U52" s="17"/>
      <c r="V52" s="17"/>
      <c r="W52" s="1055"/>
      <c r="X52" s="17"/>
      <c r="Y52" s="402"/>
      <c r="Z52" s="402"/>
      <c r="AA52" s="402"/>
      <c r="AB52" s="478"/>
      <c r="AC52" s="478"/>
      <c r="AD52" s="478"/>
      <c r="AE52" s="107"/>
      <c r="AF52" s="235">
        <v>42</v>
      </c>
      <c r="AG52" s="107" t="str">
        <f t="shared" ca="1" si="0"/>
        <v>ERROR</v>
      </c>
      <c r="AH52" s="71"/>
      <c r="AI52" s="71"/>
      <c r="AJ52" s="479" t="s">
        <v>231</v>
      </c>
      <c r="AK52" s="71" t="str">
        <f>IF(COUNTIF(Y45:Y50,"GOED")=6,"JA","NEE")</f>
        <v>NEE</v>
      </c>
      <c r="AL52" s="70"/>
      <c r="AM52" s="70"/>
      <c r="AN52" s="70"/>
      <c r="AO52" s="70"/>
      <c r="AP52" s="70"/>
      <c r="AQ52" s="153"/>
      <c r="AR52" s="153"/>
      <c r="AS52" s="172"/>
      <c r="AT52" s="172"/>
      <c r="AU52" s="172"/>
      <c r="AV52" s="172"/>
      <c r="AW52" s="381"/>
      <c r="AX52" s="172"/>
      <c r="AY52" s="172"/>
      <c r="AZ52" s="172"/>
      <c r="BA52" s="71"/>
    </row>
    <row r="53" spans="1:54" ht="20.100000000000001" hidden="1" customHeight="1" x14ac:dyDescent="0.4">
      <c r="A53" s="113" t="s">
        <v>170</v>
      </c>
      <c r="B53" s="17"/>
      <c r="C53" s="1059"/>
      <c r="D53" s="908" t="str">
        <f ca="1">Taal04!$B$26&amp;" G"</f>
        <v>Groep G</v>
      </c>
      <c r="E53" s="17"/>
      <c r="F53" s="17"/>
      <c r="G53" s="17"/>
      <c r="H53" s="17"/>
      <c r="I53" s="17"/>
      <c r="J53" s="78"/>
      <c r="K53" s="78"/>
      <c r="L53" s="78"/>
      <c r="M53" s="78"/>
      <c r="N53" s="908" t="str">
        <f ca="1">Taal04!$B$26&amp;" H"</f>
        <v>Groep H</v>
      </c>
      <c r="O53" s="17"/>
      <c r="P53" s="17"/>
      <c r="Q53" s="17"/>
      <c r="R53" s="17"/>
      <c r="S53" s="17"/>
      <c r="T53" s="78"/>
      <c r="U53" s="78"/>
      <c r="V53" s="78"/>
      <c r="W53" s="1060"/>
      <c r="X53" s="17"/>
      <c r="Y53" s="1257" t="str">
        <f ca="1">"Controle "&amp;D53</f>
        <v>Controle Groep G</v>
      </c>
      <c r="Z53" s="1257"/>
      <c r="AA53" s="1257"/>
      <c r="AB53" s="1257" t="str">
        <f ca="1">"Controle "&amp;N53</f>
        <v>Controle Groep H</v>
      </c>
      <c r="AC53" s="1257"/>
      <c r="AD53" s="1257"/>
      <c r="AE53" s="107"/>
      <c r="AF53" s="235">
        <v>43</v>
      </c>
      <c r="AG53" s="107" t="str">
        <f t="shared" ca="1" si="0"/>
        <v>ERROR</v>
      </c>
      <c r="AH53" s="1230"/>
      <c r="AI53" s="1230"/>
      <c r="AJ53" s="523"/>
      <c r="AK53" s="1230" t="s">
        <v>176</v>
      </c>
      <c r="AL53" s="1231" t="str">
        <f ca="1">AJ57</f>
        <v>Turkije</v>
      </c>
      <c r="AM53" s="1231" t="str">
        <f ca="1">AJ58</f>
        <v>Georgië</v>
      </c>
      <c r="AN53" s="1231" t="str">
        <f ca="1">AJ59</f>
        <v>Portugal</v>
      </c>
      <c r="AO53" s="1231" t="str">
        <f ca="1">AJ60</f>
        <v>Tsjechië</v>
      </c>
      <c r="AP53" s="1230" t="s">
        <v>99</v>
      </c>
      <c r="AQ53" s="1236" t="s">
        <v>175</v>
      </c>
      <c r="AR53" s="1236" t="s">
        <v>174</v>
      </c>
      <c r="AS53" s="1231" t="str">
        <f ca="1">"Gelijk met "&amp;AH57</f>
        <v>Gelijk met F1</v>
      </c>
      <c r="AT53" s="1231" t="str">
        <f ca="1">"Gelijk met "&amp;AH58</f>
        <v>Gelijk met F2</v>
      </c>
      <c r="AU53" s="1231" t="str">
        <f ca="1">"Gelijk met "&amp;AH59</f>
        <v>Gelijk met F3</v>
      </c>
      <c r="AV53" s="1231" t="str">
        <f ca="1">"Gelijk met "&amp;AH60</f>
        <v>Gelijk met F4</v>
      </c>
      <c r="AW53" s="1231" t="s">
        <v>99</v>
      </c>
      <c r="AX53" s="1236" t="s">
        <v>175</v>
      </c>
      <c r="AY53" s="1236" t="s">
        <v>174</v>
      </c>
      <c r="AZ53" s="1230" t="s">
        <v>232</v>
      </c>
      <c r="BA53" s="1230" t="s">
        <v>71</v>
      </c>
    </row>
    <row r="54" spans="1:54" ht="15" hidden="1" customHeight="1" x14ac:dyDescent="0.25">
      <c r="A54" s="613" t="str">
        <f>IF(A53="H","H","")</f>
        <v>H</v>
      </c>
      <c r="B54" s="17"/>
      <c r="C54" s="1059"/>
      <c r="D54" s="108"/>
      <c r="E54" s="1038" t="str">
        <f ca="1">Taal04!$B$20</f>
        <v>Datum</v>
      </c>
      <c r="F54" s="1038" t="str">
        <f ca="1">Taal04!$B$21</f>
        <v>Tijd</v>
      </c>
      <c r="G54" s="1234" t="str">
        <f ca="1">Taal04!$B$22</f>
        <v>Wedstrijd</v>
      </c>
      <c r="H54" s="1234"/>
      <c r="I54" s="1234"/>
      <c r="J54" s="1261" t="str">
        <f ca="1">Taal04!$B$23</f>
        <v>TOTO</v>
      </c>
      <c r="K54" s="1261"/>
      <c r="L54" s="1261"/>
      <c r="M54" s="78"/>
      <c r="N54" s="108"/>
      <c r="O54" s="1038" t="str">
        <f ca="1">Taal04!$B$20</f>
        <v>Datum</v>
      </c>
      <c r="P54" s="1038" t="str">
        <f ca="1">Taal04!$B$21</f>
        <v>Tijd</v>
      </c>
      <c r="Q54" s="1234" t="str">
        <f ca="1">Taal04!$B$22</f>
        <v>Wedstrijd</v>
      </c>
      <c r="R54" s="1234"/>
      <c r="S54" s="1234"/>
      <c r="T54" s="1261" t="str">
        <f ca="1">Taal04!$B$23</f>
        <v>TOTO</v>
      </c>
      <c r="U54" s="1261"/>
      <c r="V54" s="1261"/>
      <c r="W54" s="1060"/>
      <c r="X54" s="17"/>
      <c r="Y54" s="402" t="s">
        <v>234</v>
      </c>
      <c r="Z54" s="402"/>
      <c r="AA54" s="478" t="s">
        <v>0</v>
      </c>
      <c r="AB54" s="402" t="s">
        <v>234</v>
      </c>
      <c r="AC54" s="402"/>
      <c r="AD54" s="478" t="s">
        <v>0</v>
      </c>
      <c r="AE54" s="107"/>
      <c r="AF54" s="235">
        <v>44</v>
      </c>
      <c r="AG54" s="107" t="str">
        <f t="shared" ca="1" si="0"/>
        <v>ERROR</v>
      </c>
      <c r="AH54" s="1230"/>
      <c r="AI54" s="1230"/>
      <c r="AJ54" s="523"/>
      <c r="AK54" s="1230"/>
      <c r="AL54" s="1231"/>
      <c r="AM54" s="1231"/>
      <c r="AN54" s="1231"/>
      <c r="AO54" s="1231"/>
      <c r="AP54" s="1230"/>
      <c r="AQ54" s="1236"/>
      <c r="AR54" s="1236"/>
      <c r="AS54" s="1231"/>
      <c r="AT54" s="1231"/>
      <c r="AU54" s="1231"/>
      <c r="AV54" s="1231"/>
      <c r="AW54" s="1231"/>
      <c r="AX54" s="1236"/>
      <c r="AY54" s="1236"/>
      <c r="AZ54" s="1230"/>
      <c r="BA54" s="1230"/>
    </row>
    <row r="55" spans="1:54" ht="15" hidden="1" customHeight="1" x14ac:dyDescent="0.25">
      <c r="A55" s="613" t="str">
        <f t="shared" ref="A55:A60" si="19">IF(A54="H","H","")</f>
        <v>H</v>
      </c>
      <c r="B55" s="17"/>
      <c r="C55" s="1059"/>
      <c r="D55" s="6">
        <v>80</v>
      </c>
      <c r="E55" s="11">
        <f>DATE(2024,7,15)+TIME(12,0,0)</f>
        <v>45488.5</v>
      </c>
      <c r="F55" s="135">
        <f t="shared" ref="F55:F60" si="20">E55+TIME(0,0,0)</f>
        <v>45488.5</v>
      </c>
      <c r="G55" s="475" t="str">
        <f ca="1">AJ68</f>
        <v>ZZZ_land_G3</v>
      </c>
      <c r="H55" s="476" t="s">
        <v>12</v>
      </c>
      <c r="I55" s="477" t="str">
        <f ca="1">AJ69</f>
        <v>ZZZ_land_G4</v>
      </c>
      <c r="J55" s="1256"/>
      <c r="K55" s="1256"/>
      <c r="L55" s="1256"/>
      <c r="M55" s="474"/>
      <c r="N55" s="6">
        <v>90</v>
      </c>
      <c r="O55" s="11">
        <f t="shared" ref="O55:O59" si="21">DATE(2024,7,15)+TIME(12,0,0)</f>
        <v>45488.5</v>
      </c>
      <c r="P55" s="135">
        <f t="shared" ref="P55:P60" si="22">O55+TIME(0,0,0)</f>
        <v>45488.5</v>
      </c>
      <c r="Q55" s="475" t="str">
        <f ca="1">AJ77</f>
        <v>ZZZ_land_H3</v>
      </c>
      <c r="R55" s="476" t="s">
        <v>12</v>
      </c>
      <c r="S55" s="477" t="str">
        <f ca="1">AJ78</f>
        <v>ZZZ_land_H4</v>
      </c>
      <c r="T55" s="1256"/>
      <c r="U55" s="1256"/>
      <c r="V55" s="1256"/>
      <c r="W55" s="1060"/>
      <c r="X55" s="17"/>
      <c r="Y55" s="402" t="str">
        <f>IF($A55="H","",IF(ISBLANK(J55),"LEEG",IF(OR(J55=1,J55=2,J55=3),"GOED","ONGELDIG")))</f>
        <v/>
      </c>
      <c r="Z55" s="402"/>
      <c r="AA55" s="478" t="str">
        <f t="shared" ref="AA55:AA60" si="23">IF(Y55="GOED",J55&amp;"|","FOUT")</f>
        <v>FOUT</v>
      </c>
      <c r="AB55" s="402" t="str">
        <f>IF($A55="H","",IF(ISBLANK(T55),"LEEG",IF(OR(T55=1,T55=2,T55=3),"GOED","ONGELDIG")))</f>
        <v/>
      </c>
      <c r="AC55" s="402"/>
      <c r="AD55" s="478" t="str">
        <f t="shared" ref="AD55:AD60" si="24">IF(AB55="GOED",T55&amp;"|","FOUT")</f>
        <v>FOUT</v>
      </c>
      <c r="AE55" s="107"/>
      <c r="AF55" s="235">
        <v>45</v>
      </c>
      <c r="AG55" s="107" t="str">
        <f t="shared" ca="1" si="0"/>
        <v>ERROR</v>
      </c>
      <c r="AH55" s="1230"/>
      <c r="AI55" s="1230"/>
      <c r="AJ55" s="480" t="str">
        <f ca="1">N43</f>
        <v>Groep F</v>
      </c>
      <c r="AK55" s="1230"/>
      <c r="AL55" s="1231"/>
      <c r="AM55" s="1231"/>
      <c r="AN55" s="1231"/>
      <c r="AO55" s="1231"/>
      <c r="AP55" s="1230"/>
      <c r="AQ55" s="1236"/>
      <c r="AR55" s="1236"/>
      <c r="AS55" s="1231"/>
      <c r="AT55" s="1231"/>
      <c r="AU55" s="1231"/>
      <c r="AV55" s="1231"/>
      <c r="AW55" s="1231"/>
      <c r="AX55" s="1236"/>
      <c r="AY55" s="1236"/>
      <c r="AZ55" s="1230"/>
      <c r="BA55" s="1230"/>
    </row>
    <row r="56" spans="1:54" ht="15" hidden="1" customHeight="1" x14ac:dyDescent="0.25">
      <c r="A56" s="613" t="str">
        <f t="shared" si="19"/>
        <v>H</v>
      </c>
      <c r="B56" s="17"/>
      <c r="C56" s="1059"/>
      <c r="D56" s="6">
        <v>81</v>
      </c>
      <c r="E56" s="11">
        <f t="shared" ref="E56:E59" si="25">DATE(2024,7,15)+TIME(12,0,0)</f>
        <v>45488.5</v>
      </c>
      <c r="F56" s="135">
        <f t="shared" si="20"/>
        <v>45488.5</v>
      </c>
      <c r="G56" s="475" t="str">
        <f ca="1">AJ66</f>
        <v>ZZZ_land_G1</v>
      </c>
      <c r="H56" s="476" t="s">
        <v>12</v>
      </c>
      <c r="I56" s="477" t="str">
        <f ca="1">AJ67</f>
        <v>ZZZ_land_G2</v>
      </c>
      <c r="J56" s="1256"/>
      <c r="K56" s="1256"/>
      <c r="L56" s="1256"/>
      <c r="M56" s="474"/>
      <c r="N56" s="6">
        <v>91</v>
      </c>
      <c r="O56" s="11">
        <f t="shared" si="21"/>
        <v>45488.5</v>
      </c>
      <c r="P56" s="135">
        <f t="shared" si="22"/>
        <v>45488.5</v>
      </c>
      <c r="Q56" s="475" t="str">
        <f ca="1">AJ75</f>
        <v>ZZZ_land_H1</v>
      </c>
      <c r="R56" s="476" t="s">
        <v>12</v>
      </c>
      <c r="S56" s="477" t="str">
        <f ca="1">AJ76</f>
        <v>ZZZ_land_H2</v>
      </c>
      <c r="T56" s="1256"/>
      <c r="U56" s="1256"/>
      <c r="V56" s="1256"/>
      <c r="W56" s="1060"/>
      <c r="X56" s="17"/>
      <c r="Y56" s="402" t="str">
        <f t="shared" ref="Y56:Y60" si="26">IF($A56="H","",IF(ISBLANK(J56),"LEEG",IF(OR(J56=1,J56=2,J56=3),"GOED","ONGELDIG")))</f>
        <v/>
      </c>
      <c r="Z56" s="402"/>
      <c r="AA56" s="478" t="str">
        <f t="shared" si="23"/>
        <v>FOUT</v>
      </c>
      <c r="AB56" s="402" t="str">
        <f t="shared" ref="AB56:AB60" si="27">IF($A56="H","",IF(ISBLANK(T56),"LEEG",IF(OR(T56=1,T56=2,T56=3),"GOED","ONGELDIG")))</f>
        <v/>
      </c>
      <c r="AC56" s="402"/>
      <c r="AD56" s="478" t="str">
        <f t="shared" si="24"/>
        <v>FOUT</v>
      </c>
      <c r="AE56" s="107"/>
      <c r="AF56" s="235">
        <v>46</v>
      </c>
      <c r="AG56" s="107" t="str">
        <f t="shared" ca="1" si="0"/>
        <v>ERROR</v>
      </c>
      <c r="AH56" s="1230"/>
      <c r="AI56" s="1230"/>
      <c r="AJ56" s="479" t="s">
        <v>17</v>
      </c>
      <c r="AK56" s="1230"/>
      <c r="AL56" s="1231"/>
      <c r="AM56" s="1231"/>
      <c r="AN56" s="1231"/>
      <c r="AO56" s="1231"/>
      <c r="AP56" s="1230"/>
      <c r="AQ56" s="1236"/>
      <c r="AR56" s="1236"/>
      <c r="AS56" s="1231"/>
      <c r="AT56" s="1231"/>
      <c r="AU56" s="1231"/>
      <c r="AV56" s="1231"/>
      <c r="AW56" s="1231"/>
      <c r="AX56" s="1236"/>
      <c r="AY56" s="1236"/>
      <c r="AZ56" s="1230"/>
      <c r="BA56" s="1230"/>
    </row>
    <row r="57" spans="1:54" ht="15" hidden="1" customHeight="1" x14ac:dyDescent="0.25">
      <c r="A57" s="613" t="str">
        <f t="shared" si="19"/>
        <v>H</v>
      </c>
      <c r="B57" s="17"/>
      <c r="C57" s="1059"/>
      <c r="D57" s="6">
        <v>82</v>
      </c>
      <c r="E57" s="11">
        <f t="shared" si="25"/>
        <v>45488.5</v>
      </c>
      <c r="F57" s="135">
        <f t="shared" si="20"/>
        <v>45488.5</v>
      </c>
      <c r="G57" s="475" t="str">
        <f ca="1">AJ69</f>
        <v>ZZZ_land_G4</v>
      </c>
      <c r="H57" s="476" t="s">
        <v>12</v>
      </c>
      <c r="I57" s="477" t="str">
        <f ca="1">AJ67</f>
        <v>ZZZ_land_G2</v>
      </c>
      <c r="J57" s="1256"/>
      <c r="K57" s="1256"/>
      <c r="L57" s="1256"/>
      <c r="M57" s="474"/>
      <c r="N57" s="6">
        <v>92</v>
      </c>
      <c r="O57" s="11">
        <f t="shared" si="21"/>
        <v>45488.5</v>
      </c>
      <c r="P57" s="135">
        <f t="shared" si="22"/>
        <v>45488.5</v>
      </c>
      <c r="Q57" s="475" t="str">
        <f ca="1">AJ78</f>
        <v>ZZZ_land_H4</v>
      </c>
      <c r="R57" s="476" t="s">
        <v>12</v>
      </c>
      <c r="S57" s="477" t="str">
        <f ca="1">AJ76</f>
        <v>ZZZ_land_H2</v>
      </c>
      <c r="T57" s="1256"/>
      <c r="U57" s="1256"/>
      <c r="V57" s="1256"/>
      <c r="W57" s="1060"/>
      <c r="X57" s="17"/>
      <c r="Y57" s="402" t="str">
        <f t="shared" si="26"/>
        <v/>
      </c>
      <c r="Z57" s="402"/>
      <c r="AA57" s="478" t="str">
        <f t="shared" si="23"/>
        <v>FOUT</v>
      </c>
      <c r="AB57" s="402" t="str">
        <f t="shared" si="27"/>
        <v/>
      </c>
      <c r="AC57" s="402"/>
      <c r="AD57" s="478" t="str">
        <f t="shared" si="24"/>
        <v>FOUT</v>
      </c>
      <c r="AE57" s="107"/>
      <c r="AF57" s="235">
        <v>47</v>
      </c>
      <c r="AG57" s="107" t="str">
        <f t="shared" ca="1" si="0"/>
        <v>ERROR</v>
      </c>
      <c r="AH57" s="161" t="str">
        <f ca="1">RIGHT(AJ55,1)&amp;1</f>
        <v>F1</v>
      </c>
      <c r="AI57" s="158">
        <f ca="1">$AU$88</f>
        <v>4</v>
      </c>
      <c r="AJ57" s="481" t="str">
        <f ca="1">VLOOKUP(AH57,Voorblad!$X$67:$Z$98,2,FALSE)</f>
        <v>Turkije</v>
      </c>
      <c r="AK57" s="151" t="str">
        <f ca="1">VLOOKUP(AH57,Voorblad!$X$67:$Z$98,3,FALSE)</f>
        <v>TR</v>
      </c>
      <c r="AL57" s="249">
        <v>0</v>
      </c>
      <c r="AM57" s="437">
        <f>IF(ISNUMBER(T45),IF(T45=1,3,IF(T45=3,1,0)),0)</f>
        <v>0</v>
      </c>
      <c r="AN57" s="437">
        <f>IF(ISNUMBER(T48),IF(T48=1,3,IF(T48=3,1,0)),0)</f>
        <v>0</v>
      </c>
      <c r="AO57" s="437">
        <f>IF(ISNUMBER(T50),IF(T50=2,3,IF(T50=3,1,0)),0)</f>
        <v>0</v>
      </c>
      <c r="AP57" s="149">
        <f>IF(AD45&lt;&gt;"FOUT",IF(AM57&gt;AL58,3,IF(AM57=AL58,1,0)),0)+IF(AD48&lt;&gt;"FOUT",IF(AN57&gt;AL59,3,IF(AN57=AL59,1,0)),0)+IF(AD50&lt;&gt;"FOUT",IF(AO57&gt;AL60,3,IF(AO57=AL60,1,0)),0)</f>
        <v>0</v>
      </c>
      <c r="AQ57" s="255">
        <f>SUM(AL57:AO57)*0</f>
        <v>0</v>
      </c>
      <c r="AR57" s="256">
        <f>SUM(AL57:AL60)*0</f>
        <v>0</v>
      </c>
      <c r="AS57" s="192">
        <v>0</v>
      </c>
      <c r="AT57" s="150">
        <f>IF($AP57=$AP58,AM57,0)</f>
        <v>0</v>
      </c>
      <c r="AU57" s="150">
        <f>IF($AP57=$AP59,AN57,0)</f>
        <v>0</v>
      </c>
      <c r="AV57" s="188">
        <f>IF($AP57=$AP60,AO57,0)</f>
        <v>0</v>
      </c>
      <c r="AW57" s="149">
        <f>IF(AT57&gt;AS58,3,IF(AT57=AS58,1,0))+IF(AU57&gt;AS59,3,IF(AU57=AS59,1,0))+IF(AV57&gt;AS60,3,IF(AV57=AS60,1,0))</f>
        <v>3</v>
      </c>
      <c r="AX57" s="255">
        <f>SUM(AS57:AV57)*0</f>
        <v>0</v>
      </c>
      <c r="AY57" s="250">
        <f>SUM(AS57:AS60)*0</f>
        <v>0</v>
      </c>
      <c r="AZ57" s="195">
        <f ca="1">AP57*10000000000000+(500+AQ57-AR57)*10000000000+AQ57*100000000+AW57*1000000+(500+AX57-AY57)*1000+AX57*10+AI57</f>
        <v>5000003500004</v>
      </c>
      <c r="BA57" s="198">
        <f ca="1">RANK(AZ57,AZ57:AZ60)</f>
        <v>1</v>
      </c>
    </row>
    <row r="58" spans="1:54" ht="15" hidden="1" customHeight="1" x14ac:dyDescent="0.25">
      <c r="A58" s="613" t="str">
        <f t="shared" si="19"/>
        <v>H</v>
      </c>
      <c r="B58" s="17"/>
      <c r="C58" s="1059"/>
      <c r="D58" s="6">
        <v>83</v>
      </c>
      <c r="E58" s="11">
        <f t="shared" si="25"/>
        <v>45488.5</v>
      </c>
      <c r="F58" s="135">
        <f t="shared" si="20"/>
        <v>45488.5</v>
      </c>
      <c r="G58" s="475" t="str">
        <f ca="1">AJ66</f>
        <v>ZZZ_land_G1</v>
      </c>
      <c r="H58" s="476" t="s">
        <v>12</v>
      </c>
      <c r="I58" s="477" t="str">
        <f ca="1">AJ68</f>
        <v>ZZZ_land_G3</v>
      </c>
      <c r="J58" s="1256"/>
      <c r="K58" s="1256"/>
      <c r="L58" s="1256"/>
      <c r="M58" s="474"/>
      <c r="N58" s="6">
        <v>93</v>
      </c>
      <c r="O58" s="11">
        <f t="shared" si="21"/>
        <v>45488.5</v>
      </c>
      <c r="P58" s="135">
        <f t="shared" si="22"/>
        <v>45488.5</v>
      </c>
      <c r="Q58" s="475" t="str">
        <f ca="1">AJ75</f>
        <v>ZZZ_land_H1</v>
      </c>
      <c r="R58" s="476" t="s">
        <v>12</v>
      </c>
      <c r="S58" s="477" t="str">
        <f ca="1">AJ77</f>
        <v>ZZZ_land_H3</v>
      </c>
      <c r="T58" s="1256"/>
      <c r="U58" s="1256"/>
      <c r="V58" s="1256"/>
      <c r="W58" s="1060"/>
      <c r="X58" s="17"/>
      <c r="Y58" s="402" t="str">
        <f t="shared" si="26"/>
        <v/>
      </c>
      <c r="Z58" s="402"/>
      <c r="AA58" s="478" t="str">
        <f t="shared" si="23"/>
        <v>FOUT</v>
      </c>
      <c r="AB58" s="402" t="str">
        <f t="shared" si="27"/>
        <v/>
      </c>
      <c r="AC58" s="402"/>
      <c r="AD58" s="478" t="str">
        <f t="shared" si="24"/>
        <v>FOUT</v>
      </c>
      <c r="AE58" s="107"/>
      <c r="AF58" s="235">
        <v>48</v>
      </c>
      <c r="AG58" s="107" t="str">
        <f t="shared" ca="1" si="0"/>
        <v>ERROR</v>
      </c>
      <c r="AH58" s="161" t="str">
        <f ca="1">RIGHT(AJ55,1)&amp;2</f>
        <v>F2</v>
      </c>
      <c r="AI58" s="158">
        <f ca="1">$AV$88</f>
        <v>1</v>
      </c>
      <c r="AJ58" s="487" t="str">
        <f ca="1">VLOOKUP(AH58,Voorblad!$X$67:$Z$98,2,FALSE)</f>
        <v>Georgië</v>
      </c>
      <c r="AK58" s="111" t="str">
        <f ca="1">VLOOKUP(AH58,Voorblad!$X$67:$Z$98,3,FALSE)</f>
        <v>GE</v>
      </c>
      <c r="AL58" s="435">
        <f>IF(ISNUMBER(T45),IF(T45=2,3,IF(T45=3,1,0)),0)</f>
        <v>0</v>
      </c>
      <c r="AM58" s="251">
        <v>0</v>
      </c>
      <c r="AN58" s="436">
        <f>IF(ISNUMBER(T49),IF(T49=1,3,IF(T49=3,1,0)),0)</f>
        <v>0</v>
      </c>
      <c r="AO58" s="436">
        <f>IF(ISNUMBER(T47),IF(T47=1,3,IF(T47=3,1,0)),0)</f>
        <v>0</v>
      </c>
      <c r="AP58" s="148">
        <f>IF(AD45&lt;&gt;"FOUT",IF(AL58&gt;AM57,3,IF(AL58=AM57,1,0)),0)+IF(AD49&lt;&gt;"FOUT",IF(AN58&gt;AM59,3,IF(AN58=AM59,1,0)),0)+IF(AD47&lt;&gt;"FOUT",IF(AO58&gt;AM60,3,IF(AO58=AM60,1,0)),0)</f>
        <v>0</v>
      </c>
      <c r="AQ58" s="258">
        <f>SUM(AL58:AO58)*0</f>
        <v>0</v>
      </c>
      <c r="AR58" s="259">
        <f>SUM(AM57:AM60)*0</f>
        <v>0</v>
      </c>
      <c r="AS58" s="111">
        <f>IF($AP58=$AP57,AL58,0)</f>
        <v>0</v>
      </c>
      <c r="AT58" s="191">
        <v>0</v>
      </c>
      <c r="AU58" s="70">
        <f>IF($AP58=$AP59,AN58,0)</f>
        <v>0</v>
      </c>
      <c r="AV58" s="189">
        <f>IF($AP58=$AP60,AO58,0)</f>
        <v>0</v>
      </c>
      <c r="AW58" s="148">
        <f>IF(AS58&gt;AT57,3,IF(AS58=AT57,1,0))+IF(AU58&gt;AT59,3,IF(AU58=AT59,1,0))+IF(AV58&gt;AT60,3,IF(AV58=AT60,1,0))</f>
        <v>3</v>
      </c>
      <c r="AX58" s="258">
        <f>SUM(AS58:AV58)*0</f>
        <v>0</v>
      </c>
      <c r="AY58" s="252">
        <f>SUM(AT57:AT60)*0</f>
        <v>0</v>
      </c>
      <c r="AZ58" s="196">
        <f ca="1">AP58*10000000000000+(500+AQ58-AR58)*10000000000+AQ58*100000000+AW58*1000000+(500+AX58-AY58)*1000+AX58*10+AI58</f>
        <v>5000003500001</v>
      </c>
      <c r="BA58" s="199">
        <f ca="1">RANK(AZ58,AZ57:AZ60)</f>
        <v>4</v>
      </c>
    </row>
    <row r="59" spans="1:54" ht="15" hidden="1" customHeight="1" x14ac:dyDescent="0.25">
      <c r="A59" s="613" t="str">
        <f t="shared" si="19"/>
        <v>H</v>
      </c>
      <c r="B59" s="17"/>
      <c r="C59" s="1059"/>
      <c r="D59" s="6">
        <v>84</v>
      </c>
      <c r="E59" s="11">
        <f t="shared" si="25"/>
        <v>45488.5</v>
      </c>
      <c r="F59" s="135">
        <f t="shared" si="20"/>
        <v>45488.5</v>
      </c>
      <c r="G59" s="475" t="str">
        <f ca="1">AJ67</f>
        <v>ZZZ_land_G2</v>
      </c>
      <c r="H59" s="476" t="s">
        <v>12</v>
      </c>
      <c r="I59" s="477" t="str">
        <f ca="1">AJ68</f>
        <v>ZZZ_land_G3</v>
      </c>
      <c r="J59" s="1256"/>
      <c r="K59" s="1256"/>
      <c r="L59" s="1256"/>
      <c r="M59" s="474"/>
      <c r="N59" s="6">
        <v>94</v>
      </c>
      <c r="O59" s="11">
        <f t="shared" si="21"/>
        <v>45488.5</v>
      </c>
      <c r="P59" s="135">
        <f t="shared" si="22"/>
        <v>45488.5</v>
      </c>
      <c r="Q59" s="475" t="str">
        <f ca="1">AJ76</f>
        <v>ZZZ_land_H2</v>
      </c>
      <c r="R59" s="476" t="s">
        <v>12</v>
      </c>
      <c r="S59" s="477" t="str">
        <f ca="1">AJ77</f>
        <v>ZZZ_land_H3</v>
      </c>
      <c r="T59" s="1256"/>
      <c r="U59" s="1256"/>
      <c r="V59" s="1256"/>
      <c r="W59" s="1060"/>
      <c r="X59" s="17"/>
      <c r="Y59" s="402" t="str">
        <f t="shared" si="26"/>
        <v/>
      </c>
      <c r="Z59" s="402"/>
      <c r="AA59" s="478" t="str">
        <f t="shared" si="23"/>
        <v>FOUT</v>
      </c>
      <c r="AB59" s="402" t="str">
        <f t="shared" si="27"/>
        <v/>
      </c>
      <c r="AC59" s="402"/>
      <c r="AD59" s="478" t="str">
        <f t="shared" si="24"/>
        <v>FOUT</v>
      </c>
      <c r="AE59" s="107"/>
      <c r="AF59" s="41"/>
      <c r="AG59" s="107"/>
      <c r="AH59" s="161" t="str">
        <f ca="1">RIGHT(AJ55,1)&amp;3</f>
        <v>F3</v>
      </c>
      <c r="AI59" s="158">
        <f ca="1">$AW$88</f>
        <v>2</v>
      </c>
      <c r="AJ59" s="487" t="str">
        <f ca="1">VLOOKUP(AH59,Voorblad!$X$67:$Z$98,2,FALSE)</f>
        <v>Portugal</v>
      </c>
      <c r="AK59" s="111" t="str">
        <f ca="1">VLOOKUP(AH59,Voorblad!$X$67:$Z$98,3,FALSE)</f>
        <v>PT</v>
      </c>
      <c r="AL59" s="435">
        <f>IF(ISNUMBER(T48),IF(T48=2,3,IF(T48=3,1,0)),0)</f>
        <v>0</v>
      </c>
      <c r="AM59" s="436">
        <f>IF(ISNUMBER(T49),IF(T49=2,3,IF(T49=3,1,0)),0)</f>
        <v>0</v>
      </c>
      <c r="AN59" s="251">
        <v>0</v>
      </c>
      <c r="AO59" s="436">
        <f>IF(ISNUMBER(T46),IF(T46=1,3,IF(T46=3,1,0)),0)</f>
        <v>0</v>
      </c>
      <c r="AP59" s="148">
        <f>IF(AD48&lt;&gt;"FOUT",IF(AL59&gt;AN57,3,IF(AL59=AN57,1,0)),0)+IF(AD49&lt;&gt;"FOUT",IF(AM59&gt;AN58,3,IF(AM59=AN58,1,0)),0)+IF(AD46&lt;&gt;"FOUT",IF(AO59&gt;AN60,3,IF(AO59=AN60,1,0)),0)</f>
        <v>0</v>
      </c>
      <c r="AQ59" s="258">
        <f>SUM(AL59:AO59)*0</f>
        <v>0</v>
      </c>
      <c r="AR59" s="259">
        <f>SUM(AN57:AN60)*0</f>
        <v>0</v>
      </c>
      <c r="AS59" s="111">
        <f>IF($AP59=$AP57,AL59,0)</f>
        <v>0</v>
      </c>
      <c r="AT59" s="70">
        <f>IF($AP59=$AP58,AM59,0)</f>
        <v>0</v>
      </c>
      <c r="AU59" s="191">
        <v>0</v>
      </c>
      <c r="AV59" s="189">
        <f>IF($AP59=$AP60,AO59,0)</f>
        <v>0</v>
      </c>
      <c r="AW59" s="148">
        <f>IF(AS59&gt;AU57,3,IF(AS59=AU57,1,0))+IF(AT59&gt;AU58,3,IF(AT59=AU58,1,0))+IF(AV59&gt;AU60,3,IF(AV59=AU60,1,0))</f>
        <v>3</v>
      </c>
      <c r="AX59" s="258">
        <f>SUM(AS59:AV59)*0</f>
        <v>0</v>
      </c>
      <c r="AY59" s="252">
        <f>SUM(AU57:AU60)*0</f>
        <v>0</v>
      </c>
      <c r="AZ59" s="196">
        <f ca="1">AP59*10000000000000+(500+AQ59-AR59)*10000000000+AQ59*100000000+AW59*1000000+(500+AX59-AY59)*1000+AX59*10+AI59</f>
        <v>5000003500002</v>
      </c>
      <c r="BA59" s="199">
        <f ca="1">RANK(AZ59,AZ57:AZ60)</f>
        <v>3</v>
      </c>
    </row>
    <row r="60" spans="1:54" ht="15" hidden="1" customHeight="1" x14ac:dyDescent="0.25">
      <c r="A60" s="613" t="str">
        <f t="shared" si="19"/>
        <v>H</v>
      </c>
      <c r="B60" s="17"/>
      <c r="C60" s="1059"/>
      <c r="D60" s="6">
        <v>85</v>
      </c>
      <c r="E60" s="471">
        <f>E59</f>
        <v>45488.5</v>
      </c>
      <c r="F60" s="135">
        <f t="shared" si="20"/>
        <v>45488.5</v>
      </c>
      <c r="G60" s="475" t="str">
        <f ca="1">AJ69</f>
        <v>ZZZ_land_G4</v>
      </c>
      <c r="H60" s="476" t="s">
        <v>12</v>
      </c>
      <c r="I60" s="477" t="str">
        <f ca="1">AJ66</f>
        <v>ZZZ_land_G1</v>
      </c>
      <c r="J60" s="1256"/>
      <c r="K60" s="1256"/>
      <c r="L60" s="1256"/>
      <c r="M60" s="474"/>
      <c r="N60" s="6">
        <v>95</v>
      </c>
      <c r="O60" s="471">
        <f>O59</f>
        <v>45488.5</v>
      </c>
      <c r="P60" s="135">
        <f t="shared" si="22"/>
        <v>45488.5</v>
      </c>
      <c r="Q60" s="475" t="str">
        <f ca="1">AJ78</f>
        <v>ZZZ_land_H4</v>
      </c>
      <c r="R60" s="476" t="s">
        <v>12</v>
      </c>
      <c r="S60" s="477" t="str">
        <f ca="1">AJ75</f>
        <v>ZZZ_land_H1</v>
      </c>
      <c r="T60" s="1256"/>
      <c r="U60" s="1256"/>
      <c r="V60" s="1256"/>
      <c r="W60" s="1060"/>
      <c r="X60" s="17"/>
      <c r="Y60" s="402" t="str">
        <f t="shared" si="26"/>
        <v/>
      </c>
      <c r="Z60" s="402"/>
      <c r="AA60" s="478" t="str">
        <f t="shared" si="23"/>
        <v>FOUT</v>
      </c>
      <c r="AB60" s="402" t="str">
        <f t="shared" si="27"/>
        <v/>
      </c>
      <c r="AC60" s="402"/>
      <c r="AD60" s="478" t="str">
        <f t="shared" si="24"/>
        <v>FOUT</v>
      </c>
      <c r="AE60" s="107"/>
      <c r="AF60" s="107"/>
      <c r="AG60" s="107"/>
      <c r="AH60" s="161" t="str">
        <f ca="1">RIGHT(AJ55,1)&amp;4</f>
        <v>F4</v>
      </c>
      <c r="AI60" s="158">
        <f ca="1">$AX$88</f>
        <v>3</v>
      </c>
      <c r="AJ60" s="494" t="str">
        <f ca="1">VLOOKUP(AH60,Voorblad!$X$67:$Z$98,2,FALSE)</f>
        <v>Tsjechië</v>
      </c>
      <c r="AK60" s="147" t="str">
        <f ca="1">VLOOKUP(AH60,Voorblad!$X$67:$Z$98,3,FALSE)</f>
        <v>CZ</v>
      </c>
      <c r="AL60" s="433">
        <f>IF(ISNUMBER(T50),IF(T50=1,3,IF(T50=3,1,0)),0)</f>
        <v>0</v>
      </c>
      <c r="AM60" s="434">
        <f>IF(ISNUMBER(T47),IF(T47=2,3,IF(T47=3,1,0)),0)</f>
        <v>0</v>
      </c>
      <c r="AN60" s="434">
        <f>IF(ISNUMBER(T46),IF(T46=2,3,IF(T46=3,1,0)),0)</f>
        <v>0</v>
      </c>
      <c r="AO60" s="254">
        <v>0</v>
      </c>
      <c r="AP60" s="463">
        <f>IF(AD50&lt;&gt;"FOUT",IF(AL60&gt;AO57,3,IF(AL60=AO57,1,0)),0)+IF(AD47&lt;&gt;"FOUT",IF(AM60&gt;AO58,3,IF(AM60=AO58,1,0)),0)+IF(AD46&lt;&gt;"FOUT",IF(AN60&gt;AO59,3,IF(AN60=AO59,1,0)),0)</f>
        <v>0</v>
      </c>
      <c r="AQ60" s="261">
        <f>SUM(AL60:AO60)*0</f>
        <v>0</v>
      </c>
      <c r="AR60" s="262">
        <f>SUM(AO57:AO60)*0</f>
        <v>0</v>
      </c>
      <c r="AS60" s="147">
        <f>IF($AP60=$AP57,AL60,0)</f>
        <v>0</v>
      </c>
      <c r="AT60" s="146">
        <f>IF($AP60=$AP58,AM60,0)</f>
        <v>0</v>
      </c>
      <c r="AU60" s="146">
        <f>IF($AP60=$AP59,AN60,0)</f>
        <v>0</v>
      </c>
      <c r="AV60" s="190">
        <v>0</v>
      </c>
      <c r="AW60" s="145">
        <f>IF(AS60&gt;AV57,3,IF(AS60=AV57,1,0))+IF(AT60&gt;AV58,3,IF(AT60=AV58,1,0))+IF(AU60&gt;AV59,3,IF(AU60=AV59,1,0))</f>
        <v>3</v>
      </c>
      <c r="AX60" s="261">
        <f>SUM(AS60:AV60)*0</f>
        <v>0</v>
      </c>
      <c r="AY60" s="253">
        <f>SUM(AV57:AV60)*0</f>
        <v>0</v>
      </c>
      <c r="AZ60" s="197">
        <f ca="1">AP60*10000000000000+(500+AQ60-AR60)*10000000000+AQ60*100000000+AW60*1000000+(500+AX60-AY60)*1000+AX60*10+AI60</f>
        <v>5000003500003</v>
      </c>
      <c r="BA60" s="200">
        <f ca="1">RANK(AZ60,AZ57:AZ60)</f>
        <v>2</v>
      </c>
    </row>
    <row r="61" spans="1:54" ht="20.100000000000001" customHeight="1" x14ac:dyDescent="0.25">
      <c r="A61" s="613" t="str">
        <f t="shared" ref="A61:A68" si="28">IF(A53="H","","H")</f>
        <v/>
      </c>
      <c r="B61" s="17"/>
      <c r="C61" s="1054"/>
      <c r="D61" s="401"/>
      <c r="E61" s="401"/>
      <c r="F61" s="401"/>
      <c r="G61" s="401"/>
      <c r="H61" s="401"/>
      <c r="I61" s="401"/>
      <c r="J61" s="17"/>
      <c r="K61" s="17"/>
      <c r="L61" s="17"/>
      <c r="M61" s="17"/>
      <c r="N61" s="401"/>
      <c r="O61" s="401"/>
      <c r="P61" s="401"/>
      <c r="Q61" s="401"/>
      <c r="R61" s="401"/>
      <c r="S61" s="401"/>
      <c r="T61" s="17"/>
      <c r="U61" s="17"/>
      <c r="V61" s="17"/>
      <c r="W61" s="1055"/>
      <c r="X61" s="17"/>
      <c r="Y61" s="402"/>
      <c r="Z61" s="402"/>
      <c r="AA61" s="478"/>
      <c r="AB61" s="402"/>
      <c r="AC61" s="402"/>
      <c r="AD61" s="478"/>
      <c r="AE61" s="107"/>
      <c r="AF61" s="107"/>
      <c r="AG61" s="107"/>
      <c r="AH61" s="71"/>
      <c r="AI61" s="71"/>
      <c r="AJ61" s="479" t="s">
        <v>231</v>
      </c>
      <c r="AK61" s="71" t="str">
        <f>IF(COUNTIF(AB45:AB50,"GOED")=6,"JA","NEE")</f>
        <v>NEE</v>
      </c>
      <c r="AL61" s="70"/>
      <c r="AM61" s="70"/>
      <c r="AN61" s="70"/>
      <c r="AO61" s="70"/>
      <c r="AP61" s="70"/>
      <c r="AQ61" s="153"/>
      <c r="AR61" s="153"/>
      <c r="AS61" s="172"/>
      <c r="AT61" s="172"/>
      <c r="AU61" s="172"/>
      <c r="AV61" s="172"/>
      <c r="AW61" s="381"/>
      <c r="AX61" s="172"/>
      <c r="AY61" s="172"/>
      <c r="AZ61" s="172"/>
      <c r="BA61" s="71"/>
    </row>
    <row r="62" spans="1:54" ht="15" customHeight="1" x14ac:dyDescent="0.25">
      <c r="A62" s="613" t="str">
        <f t="shared" si="28"/>
        <v/>
      </c>
      <c r="B62" s="17"/>
      <c r="C62" s="1054"/>
      <c r="D62" s="401"/>
      <c r="E62" s="401"/>
      <c r="F62" s="401"/>
      <c r="G62" s="401"/>
      <c r="H62" s="401"/>
      <c r="I62" s="401"/>
      <c r="J62" s="17"/>
      <c r="K62" s="17"/>
      <c r="L62" s="17"/>
      <c r="M62" s="17"/>
      <c r="N62" s="401"/>
      <c r="O62" s="401"/>
      <c r="P62" s="401"/>
      <c r="Q62" s="401"/>
      <c r="R62" s="401"/>
      <c r="S62" s="401"/>
      <c r="T62" s="17"/>
      <c r="U62" s="17"/>
      <c r="V62" s="17"/>
      <c r="W62" s="1055"/>
      <c r="X62" s="17"/>
      <c r="Y62" s="402"/>
      <c r="Z62" s="402"/>
      <c r="AA62" s="402"/>
      <c r="AB62" s="402"/>
      <c r="AC62" s="402"/>
      <c r="AD62" s="504"/>
      <c r="AE62" s="107"/>
      <c r="AF62" s="107"/>
      <c r="AG62" s="107"/>
      <c r="AH62" s="1230"/>
      <c r="AI62" s="1236"/>
      <c r="AJ62" s="479"/>
      <c r="AK62" s="1231" t="s">
        <v>176</v>
      </c>
      <c r="AL62" s="1231" t="str">
        <f ca="1">AJ66</f>
        <v>ZZZ_land_G1</v>
      </c>
      <c r="AM62" s="1231" t="str">
        <f ca="1">AJ67</f>
        <v>ZZZ_land_G2</v>
      </c>
      <c r="AN62" s="1231" t="str">
        <f ca="1">AJ68</f>
        <v>ZZZ_land_G3</v>
      </c>
      <c r="AO62" s="1231" t="str">
        <f ca="1">AJ69</f>
        <v>ZZZ_land_G4</v>
      </c>
      <c r="AP62" s="1231" t="s">
        <v>99</v>
      </c>
      <c r="AQ62" s="1231" t="s">
        <v>175</v>
      </c>
      <c r="AR62" s="1231" t="s">
        <v>174</v>
      </c>
      <c r="AS62" s="1231" t="str">
        <f ca="1">"Gelijk met "&amp;AH66</f>
        <v>Gelijk met G1</v>
      </c>
      <c r="AT62" s="1231" t="str">
        <f ca="1">"Gelijk met "&amp;AH67</f>
        <v>Gelijk met G2</v>
      </c>
      <c r="AU62" s="1231" t="str">
        <f ca="1">"Gelijk met "&amp;AH68</f>
        <v>Gelijk met G3</v>
      </c>
      <c r="AV62" s="1231" t="str">
        <f ca="1">"Gelijk met "&amp;AH69</f>
        <v>Gelijk met G4</v>
      </c>
      <c r="AW62" s="1231" t="s">
        <v>99</v>
      </c>
      <c r="AX62" s="1231" t="s">
        <v>175</v>
      </c>
      <c r="AY62" s="1231" t="s">
        <v>174</v>
      </c>
      <c r="AZ62" s="1231" t="s">
        <v>232</v>
      </c>
      <c r="BA62" s="1231" t="s">
        <v>71</v>
      </c>
      <c r="BB62" s="507"/>
    </row>
    <row r="63" spans="1:54" ht="15" customHeight="1" x14ac:dyDescent="0.25">
      <c r="A63" s="613" t="str">
        <f t="shared" si="28"/>
        <v/>
      </c>
      <c r="B63" s="17"/>
      <c r="C63" s="1054"/>
      <c r="D63" s="401"/>
      <c r="E63" s="401"/>
      <c r="F63" s="401"/>
      <c r="G63" s="401"/>
      <c r="H63" s="401"/>
      <c r="I63" s="401"/>
      <c r="J63" s="17"/>
      <c r="K63" s="17"/>
      <c r="L63" s="17"/>
      <c r="M63" s="17"/>
      <c r="N63" s="401"/>
      <c r="O63" s="401"/>
      <c r="P63" s="401"/>
      <c r="Q63" s="401"/>
      <c r="R63" s="401"/>
      <c r="S63" s="401"/>
      <c r="T63" s="17"/>
      <c r="U63" s="17"/>
      <c r="V63" s="17"/>
      <c r="W63" s="1055"/>
      <c r="X63" s="17"/>
      <c r="Y63" s="1259" t="s">
        <v>212</v>
      </c>
      <c r="Z63" s="1259"/>
      <c r="AA63" s="1259"/>
      <c r="AB63" s="1259"/>
      <c r="AC63" s="1259"/>
      <c r="AD63" s="1259"/>
      <c r="AE63" s="1259"/>
      <c r="AF63" s="1259"/>
      <c r="AG63" s="1259"/>
      <c r="AH63" s="1230"/>
      <c r="AI63" s="1236"/>
      <c r="AJ63" s="479"/>
      <c r="AK63" s="1231"/>
      <c r="AL63" s="1231"/>
      <c r="AM63" s="1231"/>
      <c r="AN63" s="1231"/>
      <c r="AO63" s="1231"/>
      <c r="AP63" s="1231"/>
      <c r="AQ63" s="1231"/>
      <c r="AR63" s="1231"/>
      <c r="AS63" s="1231"/>
      <c r="AT63" s="1231"/>
      <c r="AU63" s="1231"/>
      <c r="AV63" s="1231"/>
      <c r="AW63" s="1231"/>
      <c r="AX63" s="1231"/>
      <c r="AY63" s="1231"/>
      <c r="AZ63" s="1231"/>
      <c r="BA63" s="1231"/>
      <c r="BB63" s="507"/>
    </row>
    <row r="64" spans="1:54" ht="15" customHeight="1" x14ac:dyDescent="0.25">
      <c r="A64" s="613" t="str">
        <f t="shared" si="28"/>
        <v/>
      </c>
      <c r="B64" s="17"/>
      <c r="C64" s="1054"/>
      <c r="D64" s="401"/>
      <c r="E64" s="401"/>
      <c r="F64" s="401"/>
      <c r="G64" s="401"/>
      <c r="H64" s="401"/>
      <c r="I64" s="401"/>
      <c r="J64" s="17"/>
      <c r="K64" s="17"/>
      <c r="L64" s="17"/>
      <c r="M64" s="17"/>
      <c r="N64" s="401"/>
      <c r="O64" s="401"/>
      <c r="P64" s="401"/>
      <c r="Q64" s="401"/>
      <c r="R64" s="401"/>
      <c r="S64" s="401"/>
      <c r="T64" s="17"/>
      <c r="U64" s="17"/>
      <c r="V64" s="17"/>
      <c r="W64" s="1055"/>
      <c r="X64" s="17"/>
      <c r="Y64" s="1259"/>
      <c r="Z64" s="1259"/>
      <c r="AA64" s="1259"/>
      <c r="AB64" s="1259"/>
      <c r="AC64" s="1259"/>
      <c r="AD64" s="1259"/>
      <c r="AE64" s="1259"/>
      <c r="AF64" s="1259"/>
      <c r="AG64" s="1259"/>
      <c r="AH64" s="1230"/>
      <c r="AI64" s="1236"/>
      <c r="AJ64" s="480" t="str">
        <f ca="1">D53</f>
        <v>Groep G</v>
      </c>
      <c r="AK64" s="1231"/>
      <c r="AL64" s="1231"/>
      <c r="AM64" s="1231"/>
      <c r="AN64" s="1231"/>
      <c r="AO64" s="1231"/>
      <c r="AP64" s="1231"/>
      <c r="AQ64" s="1231"/>
      <c r="AR64" s="1231"/>
      <c r="AS64" s="1231"/>
      <c r="AT64" s="1231"/>
      <c r="AU64" s="1231"/>
      <c r="AV64" s="1231"/>
      <c r="AW64" s="1231"/>
      <c r="AX64" s="1231"/>
      <c r="AY64" s="1231"/>
      <c r="AZ64" s="1231"/>
      <c r="BA64" s="1231"/>
      <c r="BB64" s="507"/>
    </row>
    <row r="65" spans="1:54" ht="15" customHeight="1" x14ac:dyDescent="0.4">
      <c r="A65" s="613" t="str">
        <f t="shared" si="28"/>
        <v/>
      </c>
      <c r="B65" s="17"/>
      <c r="C65" s="1054"/>
      <c r="D65" s="401"/>
      <c r="E65" s="401"/>
      <c r="F65" s="401"/>
      <c r="G65" s="401"/>
      <c r="H65" s="401"/>
      <c r="I65" s="401"/>
      <c r="J65" s="17"/>
      <c r="K65" s="909"/>
      <c r="L65" s="17"/>
      <c r="M65" s="17"/>
      <c r="N65" s="401"/>
      <c r="O65" s="401"/>
      <c r="P65" s="401"/>
      <c r="Q65" s="401"/>
      <c r="R65" s="401"/>
      <c r="S65" s="401"/>
      <c r="T65" s="17"/>
      <c r="U65" s="17"/>
      <c r="V65" s="17"/>
      <c r="W65" s="1055"/>
      <c r="X65" s="17"/>
      <c r="Y65" s="1259"/>
      <c r="Z65" s="1259"/>
      <c r="AA65" s="1259"/>
      <c r="AB65" s="1259"/>
      <c r="AC65" s="1259"/>
      <c r="AD65" s="1259"/>
      <c r="AE65" s="1259"/>
      <c r="AF65" s="1259"/>
      <c r="AG65" s="1259"/>
      <c r="AH65" s="1230"/>
      <c r="AI65" s="1236"/>
      <c r="AJ65" s="479" t="s">
        <v>17</v>
      </c>
      <c r="AK65" s="1231"/>
      <c r="AL65" s="1231"/>
      <c r="AM65" s="1231"/>
      <c r="AN65" s="1231"/>
      <c r="AO65" s="1231"/>
      <c r="AP65" s="1231"/>
      <c r="AQ65" s="1231"/>
      <c r="AR65" s="1231"/>
      <c r="AS65" s="1231"/>
      <c r="AT65" s="1231"/>
      <c r="AU65" s="1231"/>
      <c r="AV65" s="1231"/>
      <c r="AW65" s="1231"/>
      <c r="AX65" s="1231"/>
      <c r="AY65" s="1231"/>
      <c r="AZ65" s="1231"/>
      <c r="BA65" s="1231"/>
      <c r="BB65" s="507"/>
    </row>
    <row r="66" spans="1:54" ht="15" customHeight="1" x14ac:dyDescent="0.25">
      <c r="A66" s="613" t="str">
        <f t="shared" si="28"/>
        <v/>
      </c>
      <c r="B66" s="17"/>
      <c r="C66" s="1054"/>
      <c r="D66" s="401"/>
      <c r="E66" s="401"/>
      <c r="F66" s="401"/>
      <c r="G66" s="401"/>
      <c r="H66" s="401"/>
      <c r="I66" s="401"/>
      <c r="J66" s="17"/>
      <c r="K66" s="17"/>
      <c r="L66" s="17"/>
      <c r="M66" s="17"/>
      <c r="N66" s="401"/>
      <c r="O66" s="401"/>
      <c r="P66" s="401"/>
      <c r="Q66" s="401"/>
      <c r="R66" s="401"/>
      <c r="S66" s="401"/>
      <c r="T66" s="17"/>
      <c r="U66" s="17"/>
      <c r="V66" s="17"/>
      <c r="W66" s="1055"/>
      <c r="X66" s="17"/>
      <c r="Y66" s="503"/>
      <c r="Z66" s="502" t="str">
        <f ca="1">D23</f>
        <v>Groep A</v>
      </c>
      <c r="AA66" s="502" t="str">
        <f ca="1">N23</f>
        <v>Groep B</v>
      </c>
      <c r="AB66" s="502" t="str">
        <f ca="1">D33</f>
        <v>Groep C</v>
      </c>
      <c r="AC66" s="502" t="str">
        <f ca="1">N33</f>
        <v>Groep D</v>
      </c>
      <c r="AD66" s="502" t="str">
        <f ca="1">D43</f>
        <v>Groep E</v>
      </c>
      <c r="AE66" s="502" t="str">
        <f ca="1">N43</f>
        <v>Groep F</v>
      </c>
      <c r="AF66" s="502" t="str">
        <f ca="1">D53</f>
        <v>Groep G</v>
      </c>
      <c r="AG66" s="502" t="str">
        <f ca="1">N53</f>
        <v>Groep H</v>
      </c>
      <c r="AH66" s="161" t="str">
        <f ca="1">RIGHT(AJ64,1)&amp;1</f>
        <v>G1</v>
      </c>
      <c r="AI66" s="158">
        <f ca="1">$AU$89</f>
        <v>1</v>
      </c>
      <c r="AJ66" s="481" t="str">
        <f ca="1">VLOOKUP(AH66,Voorblad!$X$67:$Z$98,2,FALSE)</f>
        <v>ZZZ_land_G1</v>
      </c>
      <c r="AK66" s="482" t="str">
        <f ca="1">VLOOKUP(AH66,Voorblad!$X$67:$Z$98,3,FALSE)</f>
        <v>ZA</v>
      </c>
      <c r="AL66" s="249">
        <v>0</v>
      </c>
      <c r="AM66" s="437">
        <f>IF(ISNUMBER(J56),IF(J56=1,3,IF(J56=3,1,0)),0)</f>
        <v>0</v>
      </c>
      <c r="AN66" s="437">
        <f>IF(ISNUMBER(J58),IF(J58=1,3,IF(J58=3,1,0)),0)</f>
        <v>0</v>
      </c>
      <c r="AO66" s="437">
        <f>IF(ISNUMBER(J60),IF(J60=2,3,IF(J60=3,1,0)),0)</f>
        <v>0</v>
      </c>
      <c r="AP66" s="483">
        <f>IF(AA55&lt;&gt;"FOUT",IF(AM66&gt;AL67,3,IF(AM66=AL67,1,0)),0)+IF(AA57&lt;&gt;"FOUT",IF(AN66&gt;AL68,3,IF(AN66=AL68,1,0)),0)+IF(AA59&lt;&gt;"FOUT",IF(AO66&gt;AL69,3,IF(AO66=AL69,1,0)),0)</f>
        <v>0</v>
      </c>
      <c r="AQ66" s="508">
        <f>SUM(AL66:AO66)*0</f>
        <v>0</v>
      </c>
      <c r="AR66" s="509">
        <f>SUM(AL66:AL69)*0</f>
        <v>0</v>
      </c>
      <c r="AS66" s="192">
        <v>0</v>
      </c>
      <c r="AT66" s="484">
        <f>IF($AP66=$AP67,AM66,0)</f>
        <v>0</v>
      </c>
      <c r="AU66" s="484">
        <f>IF($AP66=$AP68,AN66,0)</f>
        <v>0</v>
      </c>
      <c r="AV66" s="485">
        <f>IF($AP66=$AP69,AO66,0)</f>
        <v>0</v>
      </c>
      <c r="AW66" s="483">
        <f>IF(AT66&gt;AS67,3,IF(AT66=AS67,1,0))+IF(AU66&gt;AS68,3,IF(AU66=AS68,1,0))+IF(AV66&gt;AS69,3,IF(AV66=AS69,1,0))</f>
        <v>3</v>
      </c>
      <c r="AX66" s="508">
        <f>SUM(AS66:AV66)*0</f>
        <v>0</v>
      </c>
      <c r="AY66" s="437">
        <f>SUM(AS66:AS69)*0</f>
        <v>0</v>
      </c>
      <c r="AZ66" s="195">
        <f ca="1">AP66*10000000000000+(500+AQ66-AR66)*10000000000+AQ66*100000000+AW66*1000000+(500+AX66-AY66)*1000+AX66*10+AI66</f>
        <v>5000003500001</v>
      </c>
      <c r="BA66" s="486">
        <f ca="1">RANK(AZ66,AZ66:AZ69)</f>
        <v>4</v>
      </c>
      <c r="BB66" s="507"/>
    </row>
    <row r="67" spans="1:54" ht="15" customHeight="1" x14ac:dyDescent="0.25">
      <c r="A67" s="613" t="str">
        <f t="shared" si="28"/>
        <v/>
      </c>
      <c r="B67" s="17"/>
      <c r="C67" s="1054"/>
      <c r="D67" s="401"/>
      <c r="E67" s="401"/>
      <c r="F67" s="401"/>
      <c r="G67" s="401"/>
      <c r="H67" s="401"/>
      <c r="I67" s="401"/>
      <c r="J67" s="17"/>
      <c r="K67" s="17"/>
      <c r="L67" s="17"/>
      <c r="M67" s="17"/>
      <c r="N67" s="401"/>
      <c r="O67" s="401"/>
      <c r="P67" s="401"/>
      <c r="Q67" s="401"/>
      <c r="R67" s="401"/>
      <c r="S67" s="401"/>
      <c r="T67" s="17"/>
      <c r="U67" s="17"/>
      <c r="V67" s="17"/>
      <c r="W67" s="1055"/>
      <c r="X67" s="17"/>
      <c r="Y67" s="505" t="s">
        <v>181</v>
      </c>
      <c r="Z67" s="503">
        <f>IF(AK16="JA",6,0)</f>
        <v>0</v>
      </c>
      <c r="AA67" s="503">
        <f>IF(AK25="JA",6,0)</f>
        <v>0</v>
      </c>
      <c r="AB67" s="503">
        <f>IF(AK34="JA",6,0)</f>
        <v>0</v>
      </c>
      <c r="AC67" s="503">
        <f>IF(AK43="JA",6,0)</f>
        <v>0</v>
      </c>
      <c r="AD67" s="503">
        <f>IF(AK52="JA",6,0)</f>
        <v>0</v>
      </c>
      <c r="AE67" s="503">
        <f>IF(AK61="JA",6,0)</f>
        <v>0</v>
      </c>
      <c r="AF67" s="503">
        <f>IF(AK70="JA",6,0)</f>
        <v>0</v>
      </c>
      <c r="AG67" s="503">
        <f ca="1">IF(AK79="JA",6,0)</f>
        <v>0</v>
      </c>
      <c r="AH67" s="161" t="str">
        <f ca="1">RIGHT(AJ64,1)&amp;2</f>
        <v>G2</v>
      </c>
      <c r="AI67" s="158">
        <f ca="1">$AV$89</f>
        <v>2</v>
      </c>
      <c r="AJ67" s="487" t="str">
        <f ca="1">VLOOKUP(AH67,Voorblad!$X$67:$Z$98,2,FALSE)</f>
        <v>ZZZ_land_G2</v>
      </c>
      <c r="AK67" s="488" t="str">
        <f ca="1">VLOOKUP(AH67,Voorblad!$X$67:$Z$98,3,FALSE)</f>
        <v>ZB</v>
      </c>
      <c r="AL67" s="435">
        <f>IF(ISNUMBER(J56),IF(J56=2,3,IF(J56=3,1,0)),0)</f>
        <v>0</v>
      </c>
      <c r="AM67" s="251">
        <v>0</v>
      </c>
      <c r="AN67" s="436">
        <f>IF(ISNUMBER(J59),IF(J59=1,3,IF(J59=3,1,0)),0)</f>
        <v>0</v>
      </c>
      <c r="AO67" s="436">
        <f>IF(ISNUMBER(J57),IF(J57=2,3,IF(J57=3,1,0)),0)</f>
        <v>0</v>
      </c>
      <c r="AP67" s="491">
        <f>IF(AA55&lt;&gt;"FOUT",IF(AL67&gt;AM66,3,IF(AL67=AM66,1,0)),0)+IF(AA60&lt;&gt;"FOUT",IF(AN67&gt;AM68,3,IF(AN67=AM68,1,0)),0)+IF(AA58&lt;&gt;"FOUT",IF(AO67&gt;AM69,3,IF(AO67=AM69,1,0)),0)</f>
        <v>0</v>
      </c>
      <c r="AQ67" s="510">
        <f>SUM(AL67:AO67)*0</f>
        <v>0</v>
      </c>
      <c r="AR67" s="511">
        <f>SUM(AM66:AM69)*0</f>
        <v>0</v>
      </c>
      <c r="AS67" s="488">
        <f>IF($AP67=$AP66,AL67,0)</f>
        <v>0</v>
      </c>
      <c r="AT67" s="191">
        <v>0</v>
      </c>
      <c r="AU67" s="489">
        <f>IF($AP67=$AP68,AN67,0)</f>
        <v>0</v>
      </c>
      <c r="AV67" s="492">
        <f>IF($AP67=$AP69,AO67,0)</f>
        <v>0</v>
      </c>
      <c r="AW67" s="491">
        <f>IF(AS67&gt;AT66,3,IF(AS67=AT66,1,0))+IF(AU67&gt;AT68,3,IF(AU67=AT68,1,0))+IF(AV67&gt;AT69,3,IF(AV67=AT69,1,0))</f>
        <v>3</v>
      </c>
      <c r="AX67" s="510">
        <f>SUM(AS67:AV67)*0</f>
        <v>0</v>
      </c>
      <c r="AY67" s="436">
        <f>SUM(AT66:AT69)*0</f>
        <v>0</v>
      </c>
      <c r="AZ67" s="196">
        <f ca="1">AP67*10000000000000+(500+AQ67-AR67)*10000000000+AQ67*100000000+AW67*1000000+(500+AX67-AY67)*1000+AX67*10+AI67</f>
        <v>5000003500002</v>
      </c>
      <c r="BA67" s="493">
        <f ca="1">RANK(AZ67,AZ66:AZ69)</f>
        <v>3</v>
      </c>
      <c r="BB67" s="507"/>
    </row>
    <row r="68" spans="1:54" ht="15" customHeight="1" x14ac:dyDescent="0.25">
      <c r="A68" s="613" t="str">
        <f t="shared" si="28"/>
        <v/>
      </c>
      <c r="B68" s="17"/>
      <c r="C68" s="1054"/>
      <c r="D68" s="401"/>
      <c r="E68" s="401"/>
      <c r="F68" s="401"/>
      <c r="G68" s="401"/>
      <c r="H68" s="401"/>
      <c r="I68" s="401"/>
      <c r="J68" s="17"/>
      <c r="K68" s="17"/>
      <c r="L68" s="17"/>
      <c r="M68" s="17"/>
      <c r="N68" s="401"/>
      <c r="O68" s="401"/>
      <c r="P68" s="401"/>
      <c r="Q68" s="401"/>
      <c r="R68" s="401"/>
      <c r="S68" s="401"/>
      <c r="T68" s="17"/>
      <c r="U68" s="17"/>
      <c r="V68" s="17"/>
      <c r="W68" s="1055"/>
      <c r="X68" s="17"/>
      <c r="Y68" s="505" t="s">
        <v>203</v>
      </c>
      <c r="Z68" s="503">
        <f>LARGE($AP$12:$AP$15,1)</f>
        <v>0</v>
      </c>
      <c r="AA68" s="503">
        <f>LARGE($AP$21:$AP$24,1)</f>
        <v>0</v>
      </c>
      <c r="AB68" s="503">
        <f>LARGE($AP$30:$AP$33,1)</f>
        <v>0</v>
      </c>
      <c r="AC68" s="503">
        <f>LARGE($AP$39:$AP$42,1)</f>
        <v>0</v>
      </c>
      <c r="AD68" s="503">
        <f>LARGE($AP$48:$AP$51,1)</f>
        <v>0</v>
      </c>
      <c r="AE68" s="503">
        <f>LARGE($AP$57:$AP$60,1)</f>
        <v>0</v>
      </c>
      <c r="AF68" s="503">
        <f>LARGE($AP$66:$AP$69,1)</f>
        <v>0</v>
      </c>
      <c r="AG68" s="503">
        <f>LARGE($AP$75:$AP$78,1)</f>
        <v>0</v>
      </c>
      <c r="AH68" s="161" t="str">
        <f ca="1">RIGHT(AJ64,1)&amp;3</f>
        <v>G3</v>
      </c>
      <c r="AI68" s="158">
        <f ca="1">$AW$89</f>
        <v>3</v>
      </c>
      <c r="AJ68" s="487" t="str">
        <f ca="1">VLOOKUP(AH68,Voorblad!$X$67:$Z$98,2,FALSE)</f>
        <v>ZZZ_land_G3</v>
      </c>
      <c r="AK68" s="488" t="str">
        <f ca="1">VLOOKUP(AH68,Voorblad!$X$67:$Z$98,3,FALSE)</f>
        <v>ZC</v>
      </c>
      <c r="AL68" s="435">
        <f>IF(ISNUMBER(J58),IF(J58=2,3,IF(J58=3,1,0)),0)</f>
        <v>0</v>
      </c>
      <c r="AM68" s="436">
        <f>IF(ISNUMBER(J59),IF(J59=2,3,IF(J59=3,1,0)),0)</f>
        <v>0</v>
      </c>
      <c r="AN68" s="251">
        <v>0</v>
      </c>
      <c r="AO68" s="436">
        <f>IF(ISNUMBER(J55),IF(J55=1,3,IF(J55=3,1,0)),0)</f>
        <v>0</v>
      </c>
      <c r="AP68" s="491">
        <f>IF(AA57&lt;&gt;"FOUT",IF(AL68&gt;AN66,3,IF(AL68=AN66,1,0)),0)+IF(AA60&lt;&gt;"FOUT",IF(AM68&gt;AN67,3,IF(AM68=AN67,1,0)),0)+IF(AA56&lt;&gt;"FOUT",IF(AO68&gt;AN69,3,IF(AO68=AN69,1,0)),0)</f>
        <v>0</v>
      </c>
      <c r="AQ68" s="510">
        <f>SUM(AL68:AO68)*0</f>
        <v>0</v>
      </c>
      <c r="AR68" s="511">
        <f>SUM(AN66:AN69)*0</f>
        <v>0</v>
      </c>
      <c r="AS68" s="488">
        <f>IF($AP68=$AP66,AL68,0)</f>
        <v>0</v>
      </c>
      <c r="AT68" s="489">
        <f>IF($AP68=$AP67,AM68,0)</f>
        <v>0</v>
      </c>
      <c r="AU68" s="191">
        <v>0</v>
      </c>
      <c r="AV68" s="492">
        <f>IF($AP68=$AP69,AO68,0)</f>
        <v>0</v>
      </c>
      <c r="AW68" s="491">
        <f>IF(AS68&gt;AU66,3,IF(AS68=AU66,1,0))+IF(AT68&gt;AU67,3,IF(AT68=AU67,1,0))+IF(AV68&gt;AU69,3,IF(AV68=AU69,1,0))</f>
        <v>3</v>
      </c>
      <c r="AX68" s="510">
        <f>SUM(AS68:AV68)*0</f>
        <v>0</v>
      </c>
      <c r="AY68" s="436">
        <f>SUM(AU66:AU69)*0</f>
        <v>0</v>
      </c>
      <c r="AZ68" s="196">
        <f ca="1">AP68*10000000000000+(500+AQ68-AR68)*10000000000+AQ68*100000000+AW68*1000000+(500+AX68-AY68)*1000+AX68*10+AI68</f>
        <v>5000003500003</v>
      </c>
      <c r="BA68" s="493">
        <f ca="1">RANK(AZ68,AZ66:AZ69)</f>
        <v>2</v>
      </c>
      <c r="BB68" s="507"/>
    </row>
    <row r="69" spans="1:54" ht="15" customHeight="1" x14ac:dyDescent="0.25">
      <c r="B69" s="17"/>
      <c r="C69" s="1059"/>
      <c r="D69" s="422"/>
      <c r="E69" s="423"/>
      <c r="F69" s="424"/>
      <c r="G69" s="425"/>
      <c r="H69" s="426"/>
      <c r="I69" s="427"/>
      <c r="J69" s="401"/>
      <c r="K69" s="401"/>
      <c r="L69" s="1041" t="str">
        <f>IF(A53="H","",Taal04!$B$33)</f>
        <v/>
      </c>
      <c r="M69" s="421"/>
      <c r="N69" s="422"/>
      <c r="O69" s="423"/>
      <c r="P69" s="424"/>
      <c r="Q69" s="425"/>
      <c r="R69" s="426"/>
      <c r="S69" s="427"/>
      <c r="T69" s="401"/>
      <c r="U69" s="401"/>
      <c r="V69" s="1041" t="str">
        <f>IF(A53="H","",Taal04!$B$33)</f>
        <v/>
      </c>
      <c r="W69" s="1060"/>
      <c r="X69" s="17"/>
      <c r="Y69" s="505" t="s">
        <v>204</v>
      </c>
      <c r="Z69" s="503">
        <f>LARGE($AP$12:$AP$15,2)</f>
        <v>0</v>
      </c>
      <c r="AA69" s="503">
        <f>LARGE($AP$21:$AP$24,2)</f>
        <v>0</v>
      </c>
      <c r="AB69" s="503">
        <f>LARGE($AP$30:$AP$33,2)</f>
        <v>0</v>
      </c>
      <c r="AC69" s="503">
        <f>LARGE($AP$39:$AP$42,2)</f>
        <v>0</v>
      </c>
      <c r="AD69" s="503">
        <f>LARGE($AP$48:$AP$51,2)</f>
        <v>0</v>
      </c>
      <c r="AE69" s="503">
        <f>LARGE($AP$57:$AP$60,2)</f>
        <v>0</v>
      </c>
      <c r="AF69" s="503">
        <f>LARGE($AP$66:$AP$69,2)</f>
        <v>0</v>
      </c>
      <c r="AG69" s="503">
        <f>LARGE($AP$75:$AP$78,2)</f>
        <v>0</v>
      </c>
      <c r="AH69" s="161" t="str">
        <f ca="1">RIGHT(AJ64,1)&amp;4</f>
        <v>G4</v>
      </c>
      <c r="AI69" s="158">
        <f ca="1">$AX$89</f>
        <v>4</v>
      </c>
      <c r="AJ69" s="494" t="str">
        <f ca="1">VLOOKUP(AH69,Voorblad!$X$67:$Z$98,2,FALSE)</f>
        <v>ZZZ_land_G4</v>
      </c>
      <c r="AK69" s="495" t="str">
        <f ca="1">VLOOKUP(AH69,Voorblad!$X$67:$Z$98,3,FALSE)</f>
        <v>ZD</v>
      </c>
      <c r="AL69" s="433">
        <f>IF(ISNUMBER(J60),IF(J60=1,3,IF(J60=3,1,0)),0)</f>
        <v>0</v>
      </c>
      <c r="AM69" s="434">
        <f>IF(ISNUMBER(J57),IF(J57=1,3,IF(J57=3,1,0)),0)</f>
        <v>0</v>
      </c>
      <c r="AN69" s="434">
        <f>IF(ISNUMBER(J55),IF(J55=2,3,IF(J55=3,1,0)),0)</f>
        <v>0</v>
      </c>
      <c r="AO69" s="254">
        <v>0</v>
      </c>
      <c r="AP69" s="463">
        <f>IF(AA59&lt;&gt;"FOUT",IF(AM69&gt;AO67,3,IF(AM69=AO67,1,0)),0)+IF(AA58&lt;&gt;"FOUT",IF(AN69&gt;AO68,3,IF(AN69=AO68,1,0)),0)+IF(AA56&lt;&gt;"FOUT",IF(AL69&gt;AO66,3,IF(AL69=AO66,1,0)),0)</f>
        <v>0</v>
      </c>
      <c r="AQ69" s="512">
        <f>SUM(AL69:AO69)*0</f>
        <v>0</v>
      </c>
      <c r="AR69" s="513">
        <f>SUM(AO66:AO69)*0</f>
        <v>0</v>
      </c>
      <c r="AS69" s="495">
        <f>IF($AP69=$AP66,AL69,0)</f>
        <v>0</v>
      </c>
      <c r="AT69" s="496">
        <f>IF($AP69=$AP67,AM69,0)</f>
        <v>0</v>
      </c>
      <c r="AU69" s="496">
        <f>IF($AP69=$AP68,AN69,0)</f>
        <v>0</v>
      </c>
      <c r="AV69" s="190">
        <v>0</v>
      </c>
      <c r="AW69" s="463">
        <f>IF(AS69&gt;AV66,3,IF(AS69=AV66,1,0))+IF(AT69&gt;AV67,3,IF(AT69=AV67,1,0))+IF(AU69&gt;AV68,3,IF(AU69=AV68,1,0))</f>
        <v>3</v>
      </c>
      <c r="AX69" s="512">
        <f>SUM(AS69:AV69)*0</f>
        <v>0</v>
      </c>
      <c r="AY69" s="434">
        <f>SUM(AV66:AV69)*0</f>
        <v>0</v>
      </c>
      <c r="AZ69" s="197">
        <f ca="1">AP69*10000000000000+(500+AQ69-AR69)*10000000000+AQ69*100000000+AW69*1000000+(500+AX69-AY69)*1000+AX69*10+AI69</f>
        <v>5000003500004</v>
      </c>
      <c r="BA69" s="497">
        <f ca="1">RANK(AZ69,AZ66:AZ69)</f>
        <v>1</v>
      </c>
      <c r="BB69" s="507"/>
    </row>
    <row r="70" spans="1:54" ht="9.9499999999999993" customHeight="1" x14ac:dyDescent="0.25">
      <c r="B70" s="17"/>
      <c r="C70" s="1061"/>
      <c r="D70" s="462"/>
      <c r="E70" s="462"/>
      <c r="F70" s="462"/>
      <c r="G70" s="462"/>
      <c r="H70" s="462"/>
      <c r="I70" s="462"/>
      <c r="J70" s="462"/>
      <c r="K70" s="462"/>
      <c r="L70" s="462"/>
      <c r="M70" s="462"/>
      <c r="N70" s="462"/>
      <c r="O70" s="462"/>
      <c r="P70" s="462"/>
      <c r="Q70" s="462"/>
      <c r="R70" s="462"/>
      <c r="S70" s="462"/>
      <c r="T70" s="462"/>
      <c r="U70" s="462"/>
      <c r="V70" s="462"/>
      <c r="W70" s="1062"/>
      <c r="X70" s="17"/>
      <c r="Y70" s="505" t="s">
        <v>205</v>
      </c>
      <c r="Z70" s="503">
        <f>LARGE($AP$12:$AP$15,3)</f>
        <v>0</v>
      </c>
      <c r="AA70" s="503">
        <f>LARGE($AP$21:$AP$24,3)</f>
        <v>0</v>
      </c>
      <c r="AB70" s="503">
        <f>LARGE($AP$30:$AP$33,3)</f>
        <v>0</v>
      </c>
      <c r="AC70" s="503">
        <f>LARGE($AP$39:$AP$42,3)</f>
        <v>0</v>
      </c>
      <c r="AD70" s="503">
        <f>LARGE($AP$48:$AP$51,3)</f>
        <v>0</v>
      </c>
      <c r="AE70" s="503">
        <f>LARGE($AP$57:$AP$60,3)</f>
        <v>0</v>
      </c>
      <c r="AF70" s="503">
        <f>LARGE($AP$66:$AP$69,3)</f>
        <v>0</v>
      </c>
      <c r="AG70" s="503">
        <f>LARGE($AP$75:$AP$78,3)</f>
        <v>0</v>
      </c>
      <c r="AH70" s="71"/>
      <c r="AI70" s="479"/>
      <c r="AJ70" s="479" t="s">
        <v>231</v>
      </c>
      <c r="AK70" s="479" t="str">
        <f>IF(COUNTIF(Y55:Y60,"GOED")=6,"JA","NEE")</f>
        <v>NEE</v>
      </c>
      <c r="AL70" s="489"/>
      <c r="AM70" s="489"/>
      <c r="AN70" s="489"/>
      <c r="AO70" s="489"/>
      <c r="AP70" s="70"/>
      <c r="AQ70" s="490"/>
      <c r="AR70" s="490"/>
      <c r="AS70" s="498"/>
      <c r="AT70" s="498"/>
      <c r="AU70" s="498"/>
      <c r="AV70" s="498"/>
      <c r="AW70" s="498"/>
      <c r="AX70" s="498"/>
      <c r="AY70" s="498"/>
      <c r="AZ70" s="498"/>
      <c r="BA70" s="479"/>
      <c r="BB70" s="507"/>
    </row>
    <row r="71" spans="1:54"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505" t="s">
        <v>206</v>
      </c>
      <c r="Z71" s="503">
        <f>LARGE($AP$12:$AP$15,4)</f>
        <v>0</v>
      </c>
      <c r="AA71" s="503">
        <f>LARGE($AP$21:$AP$24,4)</f>
        <v>0</v>
      </c>
      <c r="AB71" s="503">
        <f>LARGE($AP$30:$AP$33,4)</f>
        <v>0</v>
      </c>
      <c r="AC71" s="503">
        <f>LARGE($AP$39:$AP$42,4)</f>
        <v>0</v>
      </c>
      <c r="AD71" s="503">
        <f>LARGE($AP$48:$AP$51,4)</f>
        <v>0</v>
      </c>
      <c r="AE71" s="503">
        <f>LARGE($AP$57:$AP$60,4)</f>
        <v>0</v>
      </c>
      <c r="AF71" s="503">
        <f>LARGE($AP$66:$AP$69,4)</f>
        <v>0</v>
      </c>
      <c r="AG71" s="503">
        <f>LARGE($AP$75:$AP$78,4)</f>
        <v>0</v>
      </c>
      <c r="AH71" s="1230"/>
      <c r="AI71" s="1231"/>
      <c r="AJ71" s="479"/>
      <c r="AK71" s="1231" t="s">
        <v>176</v>
      </c>
      <c r="AL71" s="1231" t="str">
        <f ca="1">AJ75</f>
        <v>ZZZ_land_H1</v>
      </c>
      <c r="AM71" s="1231" t="str">
        <f ca="1">AJ76</f>
        <v>ZZZ_land_H2</v>
      </c>
      <c r="AN71" s="1231" t="str">
        <f ca="1">AJ77</f>
        <v>ZZZ_land_H3</v>
      </c>
      <c r="AO71" s="1231" t="str">
        <f ca="1">AJ78</f>
        <v>ZZZ_land_H4</v>
      </c>
      <c r="AP71" s="1231" t="s">
        <v>99</v>
      </c>
      <c r="AQ71" s="1231" t="s">
        <v>175</v>
      </c>
      <c r="AR71" s="1231" t="s">
        <v>174</v>
      </c>
      <c r="AS71" s="1231" t="str">
        <f ca="1">"Gelijk met "&amp;AH75</f>
        <v>Gelijk met H1</v>
      </c>
      <c r="AT71" s="1231" t="str">
        <f ca="1">"Gelijk met "&amp;AH76</f>
        <v>Gelijk met H2</v>
      </c>
      <c r="AU71" s="1231" t="str">
        <f ca="1">"Gelijk met "&amp;AH77</f>
        <v>Gelijk met H3</v>
      </c>
      <c r="AV71" s="1231" t="str">
        <f ca="1">"Gelijk met "&amp;AH78</f>
        <v>Gelijk met H4</v>
      </c>
      <c r="AW71" s="1231" t="s">
        <v>99</v>
      </c>
      <c r="AX71" s="1231" t="s">
        <v>175</v>
      </c>
      <c r="AY71" s="1231" t="s">
        <v>174</v>
      </c>
      <c r="AZ71" s="1231" t="s">
        <v>232</v>
      </c>
      <c r="BA71" s="1231" t="s">
        <v>71</v>
      </c>
      <c r="BB71" s="507"/>
    </row>
    <row r="72" spans="1:54" ht="15" customHeight="1" x14ac:dyDescent="0.25">
      <c r="B72" s="17"/>
      <c r="C72" s="1086"/>
      <c r="D72" s="1076" t="str">
        <f>IF(Reglement!D71="","",Reglement!D71)</f>
        <v>www.excel-pool.nl</v>
      </c>
      <c r="E72" s="1087"/>
      <c r="F72" s="1087"/>
      <c r="G72" s="1087"/>
      <c r="H72" s="1087"/>
      <c r="I72" s="1087"/>
      <c r="J72" s="1087"/>
      <c r="K72" s="1087"/>
      <c r="L72" s="1087"/>
      <c r="M72" s="1087"/>
      <c r="N72" s="1087"/>
      <c r="O72" s="1087"/>
      <c r="P72" s="1087"/>
      <c r="Q72" s="1087"/>
      <c r="R72" s="1087"/>
      <c r="S72" s="1087"/>
      <c r="T72" s="1087"/>
      <c r="U72" s="1087"/>
      <c r="V72" s="1078" t="str">
        <f>IF(Reglement!M71="","",Reglement!M71)</f>
        <v>©2024 Eric de Jong v24.00hd</v>
      </c>
      <c r="W72" s="1088"/>
      <c r="X72" s="17"/>
      <c r="Y72" s="180" t="s">
        <v>994</v>
      </c>
      <c r="Z72" s="179" t="str">
        <f>IF(Z$67=6,IF(Z68=$AP$12,$AH$12,"")&amp;IF(Z68=$AP$13,$AH$13,"")&amp;IF(Z68=$AP$14,$AH$14,"")&amp;IF(Z68=$AP$15,$AH$15,""),"")</f>
        <v/>
      </c>
      <c r="AA72" s="179" t="str">
        <f>IF(AA$67=6,IF(AA68=$AP$21,$AH$21,"")&amp;IF(AA68=$AP$22,$AH$22,"")&amp;IF(AA68=$AP$23,$AH$23,"")&amp;IF(AA68=$AP$24,$AH$24,""),"")</f>
        <v/>
      </c>
      <c r="AB72" s="179" t="str">
        <f>IF(AB$67=6,IF(AB68=$AP$30,$AH$30,"")&amp;IF(AB68=$AP$31,$AH$31,"")&amp;IF(AB68=$AP$32,$AH$32,"")&amp;IF(AB68=$AP$33,$AH$33,""),"")</f>
        <v/>
      </c>
      <c r="AC72" s="179" t="str">
        <f>IF(AC$67=6,IF(AC68=$AP$39,$AH$39,"")&amp;IF(AC68=$AP$40,$AH$40,"")&amp;IF(AC68=$AP$41,$AH$41,"")&amp;IF(AC68=$AP$42,$AH$42,""),"")</f>
        <v/>
      </c>
      <c r="AD72" s="179" t="str">
        <f>IF(AD$67,IF(AD68=$AP$48,$AH$48,"")&amp;IF(AD68=$AP$49,$AH$49,"")&amp;IF(AD68=$AP$50,$AH$50,"")&amp;IF(AD68=$AP$51,$AH$51,""),"")</f>
        <v/>
      </c>
      <c r="AE72" s="179" t="str">
        <f>IF(AE$67=6,IF(AE68=$AP$57,$AH$57,"")&amp;IF(AE68=$AP$58,$AH$58,"")&amp;IF(AE68=$AP$59,$AH$59,"")&amp;IF(AE68=$AP$60,$AH$60,""),"")</f>
        <v/>
      </c>
      <c r="AF72" s="179" t="str">
        <f>IF(AF$67=6,IF(AF68=$AP$66,$AH$66,"")&amp;IF(AF68=$AP$67,$AH$67,"")&amp;IF(AF68=$AP$68,$AH$68,"")&amp;IF(AF68=$AP$69,$AH$69,""),"")</f>
        <v/>
      </c>
      <c r="AG72" s="179" t="str">
        <f ca="1">IF(AG$67=6,IF(AG68=$AP$75,$AH$75,"")&amp;IF(AG68=$AP$76,$AH$76,"")&amp;IF(AG68=$AP$77,$AH$77,"")&amp;IF(AG68=$AP$78,$AH$78,""),"")</f>
        <v/>
      </c>
      <c r="AH72" s="1230"/>
      <c r="AI72" s="1231"/>
      <c r="AJ72" s="479"/>
      <c r="AK72" s="1231"/>
      <c r="AL72" s="1231"/>
      <c r="AM72" s="1231"/>
      <c r="AN72" s="1231"/>
      <c r="AO72" s="1231"/>
      <c r="AP72" s="1231"/>
      <c r="AQ72" s="1231"/>
      <c r="AR72" s="1231"/>
      <c r="AS72" s="1231"/>
      <c r="AT72" s="1231"/>
      <c r="AU72" s="1231"/>
      <c r="AV72" s="1231"/>
      <c r="AW72" s="1231"/>
      <c r="AX72" s="1231"/>
      <c r="AY72" s="1231"/>
      <c r="AZ72" s="1231"/>
      <c r="BA72" s="1231"/>
      <c r="BB72" s="507"/>
    </row>
    <row r="73" spans="1:54"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80" t="s">
        <v>995</v>
      </c>
      <c r="Z73" s="179" t="str">
        <f>IF(Z$67=6,IF(Z69=$AP$12,$AH$12,"")&amp;IF(Z69=$AP$13,$AH$13,"")&amp;IF(Z69=$AP$14,$AH$14,"")&amp;IF(Z69=$AP$15,$AH$15,""),"")</f>
        <v/>
      </c>
      <c r="AA73" s="179" t="str">
        <f>IF(AA$67=6,IF(AA69=$AP$21,$AH$21,"")&amp;IF(AA69=$AP$22,$AH$22,"")&amp;IF(AA69=$AP$23,$AH$23,"")&amp;IF(AA69=$AP$24,$AH$24,""),"")</f>
        <v/>
      </c>
      <c r="AB73" s="179" t="str">
        <f>IF(AB$67=6,IF(AB69=$AP$30,$AH$30,"")&amp;IF(AB69=$AP$31,$AH$31,"")&amp;IF(AB69=$AP$32,$AH$32,"")&amp;IF(AB69=$AP$33,$AH$33,""),"")</f>
        <v/>
      </c>
      <c r="AC73" s="179" t="str">
        <f>IF(AC$67=6,IF(AC69=$AP$39,$AH$39,"")&amp;IF(AC69=$AP$40,$AH$40,"")&amp;IF(AC69=$AP$41,$AH$41,"")&amp;IF(AC69=$AP$42,$AH$42,""),"")</f>
        <v/>
      </c>
      <c r="AD73" s="179" t="str">
        <f>IF(AD$67,IF(AD69=$AP$48,$AH$48,"")&amp;IF(AD69=$AP$49,$AH$49,"")&amp;IF(AD69=$AP$50,$AH$50,"")&amp;IF(AD69=$AP$51,$AH$51,""),"")</f>
        <v/>
      </c>
      <c r="AE73" s="179" t="str">
        <f>IF(AE$67=6,IF(AE69=$AP$57,$AH$57,"")&amp;IF(AE69=$AP$58,$AH$58,"")&amp;IF(AE69=$AP$59,$AH$59,"")&amp;IF(AE69=$AP$60,$AH$60,""),"")</f>
        <v/>
      </c>
      <c r="AF73" s="179" t="str">
        <f>IF(AF$67=6,IF(AF69=$AP$66,$AH$66,"")&amp;IF(AF69=$AP$67,$AH$67,"")&amp;IF(AF69=$AP$68,$AH$68,"")&amp;IF(AF69=$AP$69,$AH$69,""),"")</f>
        <v/>
      </c>
      <c r="AG73" s="179" t="str">
        <f ca="1">IF(AG$67=6,IF(AG69=$AP$75,$AH$75,"")&amp;IF(AG69=$AP$76,$AH$76,"")&amp;IF(AG69=$AP$77,$AH$77,"")&amp;IF(AG69=$AP$78,$AH$78,""),"")</f>
        <v/>
      </c>
      <c r="AH73" s="1230"/>
      <c r="AI73" s="1231"/>
      <c r="AJ73" s="480" t="str">
        <f ca="1">N53</f>
        <v>Groep H</v>
      </c>
      <c r="AK73" s="1231"/>
      <c r="AL73" s="1231"/>
      <c r="AM73" s="1231"/>
      <c r="AN73" s="1231"/>
      <c r="AO73" s="1231"/>
      <c r="AP73" s="1231"/>
      <c r="AQ73" s="1231"/>
      <c r="AR73" s="1231"/>
      <c r="AS73" s="1231"/>
      <c r="AT73" s="1231"/>
      <c r="AU73" s="1231"/>
      <c r="AV73" s="1231"/>
      <c r="AW73" s="1231"/>
      <c r="AX73" s="1231"/>
      <c r="AY73" s="1231"/>
      <c r="AZ73" s="1231"/>
      <c r="BA73" s="1231"/>
      <c r="BB73" s="507"/>
    </row>
    <row r="74" spans="1:54" ht="15" customHeight="1" x14ac:dyDescent="0.25">
      <c r="C74" s="156"/>
      <c r="D74" s="156"/>
      <c r="E74" s="156"/>
      <c r="F74" s="156"/>
      <c r="G74" s="156"/>
      <c r="H74" s="156"/>
      <c r="I74" s="156"/>
      <c r="J74" s="156"/>
      <c r="K74" s="156"/>
      <c r="L74" s="156"/>
      <c r="M74" s="156"/>
      <c r="N74" s="156"/>
      <c r="O74" s="156"/>
      <c r="P74" s="156"/>
      <c r="Q74" s="156"/>
      <c r="R74" s="156"/>
      <c r="S74" s="156"/>
      <c r="Y74" s="180" t="s">
        <v>996</v>
      </c>
      <c r="Z74" s="179" t="str">
        <f>IF(Z$67=6,IF(Z70=$AP$12,$AH$12,"")&amp;IF(Z70=$AP$13,$AH$13,"")&amp;IF(Z70=$AP$14,$AH$14,"")&amp;IF(Z70=$AP$15,$AH$15,""),"")</f>
        <v/>
      </c>
      <c r="AA74" s="179" t="str">
        <f>IF(AA$67=6,IF(AA70=$AP$21,$AH$21,"")&amp;IF(AA70=$AP$22,$AH$22,"")&amp;IF(AA70=$AP$23,$AH$23,"")&amp;IF(AA70=$AP$24,$AH$24,""),"")</f>
        <v/>
      </c>
      <c r="AB74" s="179" t="str">
        <f>IF(AB$67=6,IF(AB70=$AP$30,$AH$30,"")&amp;IF(AB70=$AP$31,$AH$31,"")&amp;IF(AB70=$AP$32,$AH$32,"")&amp;IF(AB70=$AP$33,$AH$33,""),"")</f>
        <v/>
      </c>
      <c r="AC74" s="179" t="str">
        <f>IF(AC$67=6,IF(AC70=$AP$39,$AH$39,"")&amp;IF(AC70=$AP$40,$AH$40,"")&amp;IF(AC70=$AP$41,$AH$41,"")&amp;IF(AC70=$AP$42,$AH$42,""),"")</f>
        <v/>
      </c>
      <c r="AD74" s="179" t="str">
        <f>IF(AD$67,IF(AD70=$AP$48,$AH$48,"")&amp;IF(AD70=$AP$49,$AH$49,"")&amp;IF(AD70=$AP$50,$AH$50,"")&amp;IF(AD70=$AP$51,$AH$51,""),"")</f>
        <v/>
      </c>
      <c r="AE74" s="179" t="str">
        <f>IF(AE$67=6,IF(AE70=$AP$57,$AH$57,"")&amp;IF(AE70=$AP$58,$AH$58,"")&amp;IF(AE70=$AP$59,$AH$59,"")&amp;IF(AE70=$AP$60,$AH$60,""),"")</f>
        <v/>
      </c>
      <c r="AF74" s="179" t="str">
        <f>IF(AF$67=6,IF(AF70=$AP$66,$AH$66,"")&amp;IF(AF70=$AP$67,$AH$67,"")&amp;IF(AF70=$AP$68,$AH$68,"")&amp;IF(AF70=$AP$69,$AH$69,""),"")</f>
        <v/>
      </c>
      <c r="AG74" s="179" t="str">
        <f ca="1">IF(AG$67=6,IF(AG70=$AP$75,$AH$75,"")&amp;IF(AG70=$AP$76,$AH$76,"")&amp;IF(AG70=$AP$77,$AH$77,"")&amp;IF(AG70=$AP$78,$AH$78,""),"")</f>
        <v/>
      </c>
      <c r="AH74" s="1230"/>
      <c r="AI74" s="1231"/>
      <c r="AJ74" s="479" t="s">
        <v>17</v>
      </c>
      <c r="AK74" s="1231"/>
      <c r="AL74" s="1231"/>
      <c r="AM74" s="1231"/>
      <c r="AN74" s="1231"/>
      <c r="AO74" s="1231"/>
      <c r="AP74" s="1231"/>
      <c r="AQ74" s="1231"/>
      <c r="AR74" s="1231"/>
      <c r="AS74" s="1231"/>
      <c r="AT74" s="1231"/>
      <c r="AU74" s="1231"/>
      <c r="AV74" s="1231"/>
      <c r="AW74" s="1231"/>
      <c r="AX74" s="1231"/>
      <c r="AY74" s="1231"/>
      <c r="AZ74" s="1231"/>
      <c r="BA74" s="1231"/>
      <c r="BB74" s="507"/>
    </row>
    <row r="75" spans="1:54" ht="15" customHeight="1" x14ac:dyDescent="0.25">
      <c r="C75" s="156"/>
      <c r="D75" s="156"/>
      <c r="E75" s="156"/>
      <c r="F75" s="156"/>
      <c r="G75" s="156"/>
      <c r="H75" s="156"/>
      <c r="I75" s="156"/>
      <c r="J75" s="156"/>
      <c r="K75" s="156"/>
      <c r="L75" s="156"/>
      <c r="M75" s="156"/>
      <c r="N75" s="156"/>
      <c r="O75" s="156"/>
      <c r="P75" s="156"/>
      <c r="Q75" s="156"/>
      <c r="R75" s="156"/>
      <c r="S75" s="156"/>
      <c r="Y75" s="180" t="s">
        <v>997</v>
      </c>
      <c r="Z75" s="179" t="str">
        <f>IF(Z$67=6,IF(Z71=$AP$12,$AH$12,"")&amp;IF(Z71=$AP$13,$AH$13,"")&amp;IF(Z71=$AP$14,$AH$14,"")&amp;IF(Z71=$AP$15,$AH$15,""),"")</f>
        <v/>
      </c>
      <c r="AA75" s="179" t="str">
        <f>IF(AA$67=6,IF(AA71=$AP$21,$AH$21,"")&amp;IF(AA71=$AP$22,$AH$22,"")&amp;IF(AA71=$AP$23,$AH$23,"")&amp;IF(AA71=$AP$24,$AH$24,""),"")</f>
        <v/>
      </c>
      <c r="AB75" s="179" t="str">
        <f>IF(AB$67=6,IF(AB71=$AP$30,$AH$30,"")&amp;IF(AB71=$AP$31,$AH$31,"")&amp;IF(AB71=$AP$32,$AH$32,"")&amp;IF(AB71=$AP$33,$AH$33,""),"")</f>
        <v/>
      </c>
      <c r="AC75" s="179" t="str">
        <f>IF(AC$67=6,IF(AC71=$AP$39,$AH$39,"")&amp;IF(AC71=$AP$40,$AH$40,"")&amp;IF(AC71=$AP$41,$AH$41,"")&amp;IF(AC71=$AP$42,$AH$42,""),"")</f>
        <v/>
      </c>
      <c r="AD75" s="179" t="str">
        <f>IF(AD$67,IF(AD71=$AP$48,$AH$48,"")&amp;IF(AD71=$AP$49,$AH$49,"")&amp;IF(AD71=$AP$50,$AH$50,"")&amp;IF(AD71=$AP$51,$AH$51,""),"")</f>
        <v/>
      </c>
      <c r="AE75" s="179" t="str">
        <f>IF(AE$67=6,IF(AE71=$AP$57,$AH$57,"")&amp;IF(AE71=$AP$58,$AH$58,"")&amp;IF(AE71=$AP$59,$AH$59,"")&amp;IF(AE71=$AP$60,$AH$60,""),"")</f>
        <v/>
      </c>
      <c r="AF75" s="179" t="str">
        <f>IF(AF$67=6,IF(AF71=$AP$66,$AH$66,"")&amp;IF(AF71=$AP$67,$AH$67,"")&amp;IF(AF71=$AP$68,$AH$68,"")&amp;IF(AF71=$AP$69,$AH$69,""),"")</f>
        <v/>
      </c>
      <c r="AG75" s="179" t="str">
        <f ca="1">IF(AG$67=6,IF(AG71=$AP$75,$AH$75,"")&amp;IF(AG71=$AP$76,$AH$76,"")&amp;IF(AG71=$AP$77,$AH$77,"")&amp;IF(AG71=$AP$78,$AH$78,""),"")</f>
        <v/>
      </c>
      <c r="AH75" s="161" t="str">
        <f ca="1">RIGHT(AJ73,1)&amp;1</f>
        <v>H1</v>
      </c>
      <c r="AI75" s="158">
        <f ca="1">$AU$90</f>
        <v>1</v>
      </c>
      <c r="AJ75" s="481" t="str">
        <f ca="1">VLOOKUP(AH75,Voorblad!$X$67:$Z$98,2,FALSE)</f>
        <v>ZZZ_land_H1</v>
      </c>
      <c r="AK75" s="482" t="str">
        <f ca="1">VLOOKUP(AH75,Voorblad!$X$67:$Z$98,3,FALSE)</f>
        <v>ZE</v>
      </c>
      <c r="AL75" s="249">
        <v>0</v>
      </c>
      <c r="AM75" s="437">
        <f>IF(ISNUMBER(T56),IF(T56=1,3,IF(T56=3,1,0)),0)</f>
        <v>0</v>
      </c>
      <c r="AN75" s="437">
        <f>IF(ISNUMBER(T58),IF(T58=1,3,IF(T58=3,1,0)),0)</f>
        <v>0</v>
      </c>
      <c r="AO75" s="437">
        <f>IF(ISNUMBER(T60),IF(T60=2,3,IF(T60=3,1,0)),0)</f>
        <v>0</v>
      </c>
      <c r="AP75" s="483">
        <f>IF(AD56&lt;&gt;"FOUT",IF(AM75&gt;AL76,3,IF(AM75=AL76,1,0)),0)+IF(AD58&lt;&gt;"FOUT",IF(AN75&gt;AL77,3,IF(AN75=AL77,1,0)),0)+IF(AD59&lt;&gt;"FOUT",IF(AO75&gt;AL78,3,IF(AO75=AL78,1,0)),0)</f>
        <v>0</v>
      </c>
      <c r="AQ75" s="508">
        <f>SUM(AL75:AO75)*0</f>
        <v>0</v>
      </c>
      <c r="AR75" s="509">
        <f>SUM(AL75:AL78)*0</f>
        <v>0</v>
      </c>
      <c r="AS75" s="192">
        <v>0</v>
      </c>
      <c r="AT75" s="484">
        <f>IF($AP75=$AP76,AM75,0)</f>
        <v>0</v>
      </c>
      <c r="AU75" s="484">
        <f>IF($AP75=$AP77,AN75,0)</f>
        <v>0</v>
      </c>
      <c r="AV75" s="485">
        <f>IF($AP75=$AP78,AO75,0)</f>
        <v>0</v>
      </c>
      <c r="AW75" s="483">
        <f>IF(AT75&gt;AS76,3,IF(AT75=AS76,1,0))+IF(AU75&gt;AS77,3,IF(AU75=AS77,1,0))+IF(AV75&gt;AS78,3,IF(AV75=AS78,1,0))</f>
        <v>3</v>
      </c>
      <c r="AX75" s="508">
        <f>SUM(AS75:AV75)*0</f>
        <v>0</v>
      </c>
      <c r="AY75" s="437">
        <f>SUM(AS75:AS78)*0</f>
        <v>0</v>
      </c>
      <c r="AZ75" s="195">
        <f ca="1">AP75*10000000000000+(500+AQ75-AR75)*10000000000+AQ75*100000000+AW75*1000000+(500+AX75-AY75)*1000+AX75*10+AI75</f>
        <v>5000003500001</v>
      </c>
      <c r="BA75" s="486">
        <f ca="1">RANK(AZ75,AZ75:AZ78)</f>
        <v>4</v>
      </c>
      <c r="BB75" s="507"/>
    </row>
    <row r="76" spans="1:54" ht="15" customHeight="1" x14ac:dyDescent="0.25">
      <c r="C76" s="156"/>
      <c r="D76" s="156"/>
      <c r="E76" s="156"/>
      <c r="F76" s="156"/>
      <c r="G76" s="156"/>
      <c r="H76" s="156"/>
      <c r="I76" s="156"/>
      <c r="J76" s="156"/>
      <c r="K76" s="156"/>
      <c r="L76" s="156"/>
      <c r="M76" s="156"/>
      <c r="N76" s="156"/>
      <c r="O76" s="156"/>
      <c r="P76" s="156"/>
      <c r="Q76" s="156"/>
      <c r="R76" s="156"/>
      <c r="S76" s="156"/>
      <c r="Y76" s="180" t="s">
        <v>208</v>
      </c>
      <c r="Z76" s="503" t="str">
        <f>IF(LEN(Z72)&gt;=2,VLOOKUP(LEFT(Z72,2),Voorblad!$X$67:$Y$98,2),"")&amp;IF(LEN(Z72)&gt;=4," / "&amp;VLOOKUP(RIGHT(LEFT(Z72,4),2),Voorblad!$X$67:$Y$98,2),"")&amp;IF(LEN(Z72)&gt;=6," / "&amp;VLOOKUP(RIGHT(LEFT(Z72,6),2),Voorblad!$X$67:$Y$98,2),"")&amp;IF(LEN(Z72)&gt;=8," / "&amp;VLOOKUP(RIGHT(LEFT(Z72,8),2),Voorblad!$X$67:$Y$98,2),"")</f>
        <v/>
      </c>
      <c r="AA76" s="503" t="str">
        <f>IF(LEN(AA72)&gt;=2,VLOOKUP(LEFT(AA72,2),Voorblad!$X$67:$Y$98,2),"")&amp;IF(LEN(AA72)&gt;=4," / "&amp;VLOOKUP(RIGHT(LEFT(AA72,4),2),Voorblad!$X$67:$Y$98,2),"")&amp;IF(LEN(AA72)&gt;=6," / "&amp;VLOOKUP(RIGHT(LEFT(AA72,6),2),Voorblad!$X$67:$Y$98,2),"")&amp;IF(LEN(AA72)&gt;=8," / "&amp;VLOOKUP(RIGHT(LEFT(AA72,8),2),Voorblad!$X$67:$Y$98,2),"")</f>
        <v/>
      </c>
      <c r="AB76" s="503" t="str">
        <f>IF(LEN(AB72)&gt;=2,VLOOKUP(LEFT(AB72,2),Voorblad!$X$67:$Y$98,2),"")&amp;IF(LEN(AB72)&gt;=4," / "&amp;VLOOKUP(RIGHT(LEFT(AB72,4),2),Voorblad!$X$67:$Y$98,2),"")&amp;IF(LEN(AB72)&gt;=6," / "&amp;VLOOKUP(RIGHT(LEFT(AB72,6),2),Voorblad!$X$67:$Y$98,2),"")&amp;IF(LEN(AB72)&gt;=8," / "&amp;VLOOKUP(RIGHT(LEFT(AB72,8),2),Voorblad!$X$67:$Y$98,2),"")</f>
        <v/>
      </c>
      <c r="AC76" s="503" t="str">
        <f>IF(LEN(AC72)&gt;=2,VLOOKUP(LEFT(AC72,2),Voorblad!$X$67:$Y$98,2),"")&amp;IF(LEN(AC72)&gt;=4," / "&amp;VLOOKUP(RIGHT(LEFT(AC72,4),2),Voorblad!$X$67:$Y$98,2),"")&amp;IF(LEN(AC72)&gt;=6," / "&amp;VLOOKUP(RIGHT(LEFT(AC72,6),2),Voorblad!$X$67:$Y$98,2),"")&amp;IF(LEN(AC72)&gt;=8," / "&amp;VLOOKUP(RIGHT(LEFT(AC72,8),2),Voorblad!$X$67:$Y$98,2),"")</f>
        <v/>
      </c>
      <c r="AD76" s="503" t="str">
        <f>IF(LEN(AD72)&gt;=2,VLOOKUP(LEFT(AD72,2),Voorblad!$X$67:$Y$98,2),"")&amp;IF(LEN(AD72)&gt;=4," / "&amp;VLOOKUP(RIGHT(LEFT(AD72,4),2),Voorblad!$X$67:$Y$98,2),"")&amp;IF(LEN(AD72)&gt;=6," / "&amp;VLOOKUP(RIGHT(LEFT(AD72,6),2),Voorblad!$X$67:$Y$98,2),"")&amp;IF(LEN(AD72)&gt;=8," / "&amp;VLOOKUP(RIGHT(LEFT(AD72,8),2),Voorblad!$X$67:$Y$98,2),"")</f>
        <v/>
      </c>
      <c r="AE76" s="503" t="str">
        <f>IF(LEN(AE72)&gt;=2,VLOOKUP(LEFT(AE72,2),Voorblad!$X$67:$Y$98,2),"")&amp;IF(LEN(AE72)&gt;=4," / "&amp;VLOOKUP(RIGHT(LEFT(AE72,4),2),Voorblad!$X$67:$Y$98,2),"")&amp;IF(LEN(AE72)&gt;=6," / "&amp;VLOOKUP(RIGHT(LEFT(AE72,6),2),Voorblad!$X$67:$Y$98,2),"")&amp;IF(LEN(AE72)&gt;=8," / "&amp;VLOOKUP(RIGHT(LEFT(AE72,8),2),Voorblad!$X$67:$Y$98,2),"")</f>
        <v/>
      </c>
      <c r="AF76" s="503" t="str">
        <f>IF(LEN(AF72)&gt;=2,VLOOKUP(LEFT(AF72,2),Voorblad!$X$67:$Y$98,2),"")&amp;IF(LEN(AF72)&gt;=4," / "&amp;VLOOKUP(RIGHT(LEFT(AF72,4),2),Voorblad!$X$67:$Y$98,2),"")&amp;IF(LEN(AF72)&gt;=6," / "&amp;VLOOKUP(RIGHT(LEFT(AF72,6),2),Voorblad!$X$67:$Y$98,2),"")&amp;IF(LEN(AF72)&gt;=8," / "&amp;VLOOKUP(RIGHT(LEFT(AF72,8),2),Voorblad!$X$67:$Y$98,2),"")</f>
        <v/>
      </c>
      <c r="AG76" s="503" t="str">
        <f ca="1">IF(LEN(AG72)&gt;=2,VLOOKUP(LEFT(AG72,2),Voorblad!$X$67:$Y$98,2),"")&amp;IF(LEN(AG72)&gt;=4," / "&amp;VLOOKUP(RIGHT(LEFT(AG72,4),2),Voorblad!$X$67:$Y$98,2),"")&amp;IF(LEN(AG72)&gt;=6," / "&amp;VLOOKUP(RIGHT(LEFT(AG72,6),2),Voorblad!$X$67:$Y$98,2),"")&amp;IF(LEN(AG72)&gt;=8," / "&amp;VLOOKUP(RIGHT(LEFT(AG72,8),2),Voorblad!$X$67:$Y$98,2),"")</f>
        <v/>
      </c>
      <c r="AH76" s="161" t="str">
        <f ca="1">RIGHT(AJ73,1)&amp;2</f>
        <v>H2</v>
      </c>
      <c r="AI76" s="158">
        <f ca="1">$AV$90</f>
        <v>2</v>
      </c>
      <c r="AJ76" s="487" t="str">
        <f ca="1">VLOOKUP(AH76,Voorblad!$X$67:$Z$98,2,FALSE)</f>
        <v>ZZZ_land_H2</v>
      </c>
      <c r="AK76" s="488" t="str">
        <f ca="1">VLOOKUP(AH76,Voorblad!$X$67:$Z$98,3,FALSE)</f>
        <v>ZF</v>
      </c>
      <c r="AL76" s="435">
        <f>IF(ISNUMBER(T56),IF(T56=2,3,IF(T56=3,1,0)),0)</f>
        <v>0</v>
      </c>
      <c r="AM76" s="251">
        <v>0</v>
      </c>
      <c r="AN76" s="436">
        <f>IF(ISNUMBER(T59),IF(T59=1,3,IF(T59=3,1,0)),0)</f>
        <v>0</v>
      </c>
      <c r="AO76" s="436">
        <f>IF(ISNUMBER(T57),IF(T57=2,3,IF(T57=3,1,0)),0)</f>
        <v>0</v>
      </c>
      <c r="AP76" s="491">
        <f>IF(AD56&lt;&gt;"FOUT",IF(AL76&gt;AM75,3,IF(AL76=AM75,1,0)),0)+IF(AD60&lt;&gt;"FOUT",IF(AN76&gt;AM77,3,IF(AN76=AM77,1,0)),0)+IF(AD57&lt;&gt;"FOUT",IF(AO76&gt;AM78,3,IF(AO76=AM78,1,0)),0)</f>
        <v>0</v>
      </c>
      <c r="AQ76" s="510">
        <f>SUM(AL76:AO76)*0</f>
        <v>0</v>
      </c>
      <c r="AR76" s="511">
        <f>SUM(AM75:AM78)*0</f>
        <v>0</v>
      </c>
      <c r="AS76" s="488">
        <f>IF($AP76=$AP75,AL76,0)</f>
        <v>0</v>
      </c>
      <c r="AT76" s="191">
        <v>0</v>
      </c>
      <c r="AU76" s="489">
        <f>IF($AP76=$AP77,AN76,0)</f>
        <v>0</v>
      </c>
      <c r="AV76" s="492">
        <f>IF($AP76=$AP78,AO76,0)</f>
        <v>0</v>
      </c>
      <c r="AW76" s="491">
        <f>IF(AS76&gt;AT75,3,IF(AS76=AT75,1,0))+IF(AU76&gt;AT77,3,IF(AU76=AT77,1,0))+IF(AV76&gt;AT78,3,IF(AV76=AT78,1,0))</f>
        <v>3</v>
      </c>
      <c r="AX76" s="510">
        <f>SUM(AS76:AV76)*0</f>
        <v>0</v>
      </c>
      <c r="AY76" s="436">
        <f>SUM(AT75:AT78)*0</f>
        <v>0</v>
      </c>
      <c r="AZ76" s="196">
        <f ca="1">AP76*10000000000000+(500+AQ76-AR76)*10000000000+AQ76*100000000+AW76*1000000+(500+AX76-AY76)*1000+AX76*10+AI76</f>
        <v>5000003500002</v>
      </c>
      <c r="BA76" s="493">
        <f ca="1">RANK(AZ76,AZ75:AZ78)</f>
        <v>3</v>
      </c>
      <c r="BB76" s="507"/>
    </row>
    <row r="77" spans="1:54" ht="15" customHeight="1" x14ac:dyDescent="0.25">
      <c r="C77" s="156"/>
      <c r="D77" s="156"/>
      <c r="E77" s="156"/>
      <c r="F77" s="156"/>
      <c r="G77" s="156"/>
      <c r="H77" s="156"/>
      <c r="I77" s="156"/>
      <c r="J77" s="156"/>
      <c r="K77" s="156"/>
      <c r="L77" s="156"/>
      <c r="M77" s="156"/>
      <c r="N77" s="156"/>
      <c r="O77" s="156"/>
      <c r="P77" s="156"/>
      <c r="Q77" s="156"/>
      <c r="R77" s="156"/>
      <c r="S77" s="156"/>
      <c r="Y77" s="180" t="s">
        <v>209</v>
      </c>
      <c r="Z77" s="503" t="str">
        <f>IF(LEN(Z73)&gt;=2,VLOOKUP(LEFT(Z73,2),Voorblad!$X$67:$Y$98,2),"")&amp;IF(LEN(Z73)&gt;=4," / "&amp;VLOOKUP(RIGHT(LEFT(Z73,4),2),Voorblad!$X$67:$Y$98,2),"")&amp;IF(LEN(Z73)&gt;=6," / "&amp;VLOOKUP(RIGHT(LEFT(Z73,6),2),Voorblad!$X$67:$Y$98,2),"")&amp;IF(LEN(Z73)&gt;=8," / "&amp;VLOOKUP(RIGHT(LEFT(Z73,8),2),Voorblad!$X$67:$Y$98,2),"")</f>
        <v/>
      </c>
      <c r="AA77" s="503" t="str">
        <f>IF(LEN(AA73)&gt;=2,VLOOKUP(LEFT(AA73,2),Voorblad!$X$67:$Y$98,2),"")&amp;IF(LEN(AA73)&gt;=4," / "&amp;VLOOKUP(RIGHT(LEFT(AA73,4),2),Voorblad!$X$67:$Y$98,2),"")&amp;IF(LEN(AA73)&gt;=6," / "&amp;VLOOKUP(RIGHT(LEFT(AA73,6),2),Voorblad!$X$67:$Y$98,2),"")&amp;IF(LEN(AA73)&gt;=8," / "&amp;VLOOKUP(RIGHT(LEFT(AA73,8),2),Voorblad!$X$67:$Y$98,2),"")</f>
        <v/>
      </c>
      <c r="AB77" s="503" t="str">
        <f>IF(LEN(AB73)&gt;=2,VLOOKUP(LEFT(AB73,2),Voorblad!$X$67:$Y$98,2),"")&amp;IF(LEN(AB73)&gt;=4," / "&amp;VLOOKUP(RIGHT(LEFT(AB73,4),2),Voorblad!$X$67:$Y$98,2),"")&amp;IF(LEN(AB73)&gt;=6," / "&amp;VLOOKUP(RIGHT(LEFT(AB73,6),2),Voorblad!$X$67:$Y$98,2),"")&amp;IF(LEN(AB73)&gt;=8," / "&amp;VLOOKUP(RIGHT(LEFT(AB73,8),2),Voorblad!$X$67:$Y$98,2),"")</f>
        <v/>
      </c>
      <c r="AC77" s="503" t="str">
        <f>IF(LEN(AC73)&gt;=2,VLOOKUP(LEFT(AC73,2),Voorblad!$X$67:$Y$98,2),"")&amp;IF(LEN(AC73)&gt;=4," / "&amp;VLOOKUP(RIGHT(LEFT(AC73,4),2),Voorblad!$X$67:$Y$98,2),"")&amp;IF(LEN(AC73)&gt;=6," / "&amp;VLOOKUP(RIGHT(LEFT(AC73,6),2),Voorblad!$X$67:$Y$98,2),"")&amp;IF(LEN(AC73)&gt;=8," / "&amp;VLOOKUP(RIGHT(LEFT(AC73,8),2),Voorblad!$X$67:$Y$98,2),"")</f>
        <v/>
      </c>
      <c r="AD77" s="503" t="str">
        <f>IF(LEN(AD73)&gt;=2,VLOOKUP(LEFT(AD73,2),Voorblad!$X$67:$Y$98,2),"")&amp;IF(LEN(AD73)&gt;=4," / "&amp;VLOOKUP(RIGHT(LEFT(AD73,4),2),Voorblad!$X$67:$Y$98,2),"")&amp;IF(LEN(AD73)&gt;=6," / "&amp;VLOOKUP(RIGHT(LEFT(AD73,6),2),Voorblad!$X$67:$Y$98,2),"")&amp;IF(LEN(AD73)&gt;=8," / "&amp;VLOOKUP(RIGHT(LEFT(AD73,8),2),Voorblad!$X$67:$Y$98,2),"")</f>
        <v/>
      </c>
      <c r="AE77" s="503" t="str">
        <f>IF(LEN(AE73)&gt;=2,VLOOKUP(LEFT(AE73,2),Voorblad!$X$67:$Y$98,2),"")&amp;IF(LEN(AE73)&gt;=4," / "&amp;VLOOKUP(RIGHT(LEFT(AE73,4),2),Voorblad!$X$67:$Y$98,2),"")&amp;IF(LEN(AE73)&gt;=6," / "&amp;VLOOKUP(RIGHT(LEFT(AE73,6),2),Voorblad!$X$67:$Y$98,2),"")&amp;IF(LEN(AE73)&gt;=8," / "&amp;VLOOKUP(RIGHT(LEFT(AE73,8),2),Voorblad!$X$67:$Y$98,2),"")</f>
        <v/>
      </c>
      <c r="AF77" s="503" t="str">
        <f>IF(LEN(AF73)&gt;=2,VLOOKUP(LEFT(AF73,2),Voorblad!$X$67:$Y$98,2),"")&amp;IF(LEN(AF73)&gt;=4," / "&amp;VLOOKUP(RIGHT(LEFT(AF73,4),2),Voorblad!$X$67:$Y$98,2),"")&amp;IF(LEN(AF73)&gt;=6," / "&amp;VLOOKUP(RIGHT(LEFT(AF73,6),2),Voorblad!$X$67:$Y$98,2),"")&amp;IF(LEN(AF73)&gt;=8," / "&amp;VLOOKUP(RIGHT(LEFT(AF73,8),2),Voorblad!$X$67:$Y$98,2),"")</f>
        <v/>
      </c>
      <c r="AG77" s="503" t="str">
        <f ca="1">IF(LEN(AG73)&gt;=2,VLOOKUP(LEFT(AG73,2),Voorblad!$X$67:$Y$98,2),"")&amp;IF(LEN(AG73)&gt;=4," / "&amp;VLOOKUP(RIGHT(LEFT(AG73,4),2),Voorblad!$X$67:$Y$98,2),"")&amp;IF(LEN(AG73)&gt;=6," / "&amp;VLOOKUP(RIGHT(LEFT(AG73,6),2),Voorblad!$X$67:$Y$98,2),"")&amp;IF(LEN(AG73)&gt;=8," / "&amp;VLOOKUP(RIGHT(LEFT(AG73,8),2),Voorblad!$X$67:$Y$98,2),"")</f>
        <v/>
      </c>
      <c r="AH77" s="161" t="str">
        <f ca="1">RIGHT(AJ73,1)&amp;3</f>
        <v>H3</v>
      </c>
      <c r="AI77" s="158">
        <f ca="1">$AW$90</f>
        <v>3</v>
      </c>
      <c r="AJ77" s="487" t="str">
        <f ca="1">VLOOKUP(AH77,Voorblad!$X$67:$Z$98,2,FALSE)</f>
        <v>ZZZ_land_H3</v>
      </c>
      <c r="AK77" s="488" t="str">
        <f ca="1">VLOOKUP(AH77,Voorblad!$X$67:$Z$98,3,FALSE)</f>
        <v>ZG</v>
      </c>
      <c r="AL77" s="435">
        <f>IF(ISNUMBER(T58),IF(T58=2,3,IF(T58=3,1,0)),0)</f>
        <v>0</v>
      </c>
      <c r="AM77" s="436">
        <f>IF(ISNUMBER(T59),IF(T59=2,3,IF(T59=3,1,0)),0)</f>
        <v>0</v>
      </c>
      <c r="AN77" s="251">
        <v>0</v>
      </c>
      <c r="AO77" s="436">
        <f>IF(ISNUMBER(T55),IF(T55=1,3,IF(T55=3,1,0)),0)</f>
        <v>0</v>
      </c>
      <c r="AP77" s="491">
        <f>IF(AD58&lt;&gt;"FOUT",IF(AL77&gt;AN75,3,IF(AL77=AN75,1,0)),0)+IF(AD60&lt;&gt;"FOUT",IF(AM77&gt;AN76,3,IF(AM77=AN76,1,0)),0)+IF(AD55&lt;&gt;"FOUT",IF(AO77&gt;AN78,3,IF(AO77=AN78,1,0)),0)</f>
        <v>0</v>
      </c>
      <c r="AQ77" s="510">
        <f>SUM(AL77:AO77)*0</f>
        <v>0</v>
      </c>
      <c r="AR77" s="511">
        <f>SUM(AN75:AN78)*0</f>
        <v>0</v>
      </c>
      <c r="AS77" s="488">
        <f>IF($AP77=$AP75,AL77,0)</f>
        <v>0</v>
      </c>
      <c r="AT77" s="489">
        <f>IF($AP77=$AP76,AM77,0)</f>
        <v>0</v>
      </c>
      <c r="AU77" s="191">
        <v>0</v>
      </c>
      <c r="AV77" s="492">
        <f>IF($AP77=$AP78,AO77,0)</f>
        <v>0</v>
      </c>
      <c r="AW77" s="491">
        <f>IF(AS77&gt;AU75,3,IF(AS77=AU75,1,0))+IF(AT77&gt;AU76,3,IF(AT77=AU76,1,0))+IF(AV77&gt;AU78,3,IF(AV77=AU78,1,0))</f>
        <v>3</v>
      </c>
      <c r="AX77" s="510">
        <f>SUM(AS77:AV77)*0</f>
        <v>0</v>
      </c>
      <c r="AY77" s="436">
        <f>SUM(AU75:AU78)*0</f>
        <v>0</v>
      </c>
      <c r="AZ77" s="196">
        <f ca="1">AP77*10000000000000+(500+AQ77-AR77)*10000000000+AQ77*100000000+AW77*1000000+(500+AX77-AY77)*1000+AX77*10+AI77</f>
        <v>5000003500003</v>
      </c>
      <c r="BA77" s="493">
        <f ca="1">RANK(AZ77,AZ75:AZ78)</f>
        <v>2</v>
      </c>
      <c r="BB77" s="507"/>
    </row>
    <row r="78" spans="1:54" ht="15" customHeight="1" x14ac:dyDescent="0.25">
      <c r="C78" s="156"/>
      <c r="D78" s="156"/>
      <c r="E78" s="156"/>
      <c r="F78" s="156"/>
      <c r="G78" s="156"/>
      <c r="H78" s="156"/>
      <c r="I78" s="156"/>
      <c r="J78" s="156"/>
      <c r="K78" s="156"/>
      <c r="L78" s="156"/>
      <c r="M78" s="156"/>
      <c r="N78" s="156"/>
      <c r="O78" s="156"/>
      <c r="P78" s="156"/>
      <c r="Q78" s="156"/>
      <c r="R78" s="156"/>
      <c r="S78" s="156"/>
      <c r="Y78" s="180" t="s">
        <v>210</v>
      </c>
      <c r="Z78" s="503" t="str">
        <f>IF(LEN(Z74)&gt;=2,VLOOKUP(LEFT(Z74,2),Voorblad!$X$67:$Y$98,2),"")&amp;IF(LEN(Z74)&gt;=4," / "&amp;VLOOKUP(RIGHT(LEFT(Z74,4),2),Voorblad!$X$67:$Y$98,2),"")&amp;IF(LEN(Z74)&gt;=6," / "&amp;VLOOKUP(RIGHT(LEFT(Z74,6),2),Voorblad!$X$67:$Y$98,2),"")&amp;IF(LEN(Z74)&gt;=8," / "&amp;VLOOKUP(RIGHT(LEFT(Z74,8),2),Voorblad!$X$67:$Y$98,2),"")</f>
        <v/>
      </c>
      <c r="AA78" s="503" t="str">
        <f>IF(LEN(AA74)&gt;=2,VLOOKUP(LEFT(AA74,2),Voorblad!$X$67:$Y$98,2),"")&amp;IF(LEN(AA74)&gt;=4," / "&amp;VLOOKUP(RIGHT(LEFT(AA74,4),2),Voorblad!$X$67:$Y$98,2),"")&amp;IF(LEN(AA74)&gt;=6," / "&amp;VLOOKUP(RIGHT(LEFT(AA74,6),2),Voorblad!$X$67:$Y$98,2),"")&amp;IF(LEN(AA74)&gt;=8," / "&amp;VLOOKUP(RIGHT(LEFT(AA74,8),2),Voorblad!$X$67:$Y$98,2),"")</f>
        <v/>
      </c>
      <c r="AB78" s="503" t="str">
        <f>IF(LEN(AB74)&gt;=2,VLOOKUP(LEFT(AB74,2),Voorblad!$X$67:$Y$98,2),"")&amp;IF(LEN(AB74)&gt;=4," / "&amp;VLOOKUP(RIGHT(LEFT(AB74,4),2),Voorblad!$X$67:$Y$98,2),"")&amp;IF(LEN(AB74)&gt;=6," / "&amp;VLOOKUP(RIGHT(LEFT(AB74,6),2),Voorblad!$X$67:$Y$98,2),"")&amp;IF(LEN(AB74)&gt;=8," / "&amp;VLOOKUP(RIGHT(LEFT(AB74,8),2),Voorblad!$X$67:$Y$98,2),"")</f>
        <v/>
      </c>
      <c r="AC78" s="503" t="str">
        <f>IF(LEN(AC74)&gt;=2,VLOOKUP(LEFT(AC74,2),Voorblad!$X$67:$Y$98,2),"")&amp;IF(LEN(AC74)&gt;=4," / "&amp;VLOOKUP(RIGHT(LEFT(AC74,4),2),Voorblad!$X$67:$Y$98,2),"")&amp;IF(LEN(AC74)&gt;=6," / "&amp;VLOOKUP(RIGHT(LEFT(AC74,6),2),Voorblad!$X$67:$Y$98,2),"")&amp;IF(LEN(AC74)&gt;=8," / "&amp;VLOOKUP(RIGHT(LEFT(AC74,8),2),Voorblad!$X$67:$Y$98,2),"")</f>
        <v/>
      </c>
      <c r="AD78" s="503" t="str">
        <f>IF(LEN(AD74)&gt;=2,VLOOKUP(LEFT(AD74,2),Voorblad!$X$67:$Y$98,2),"")&amp;IF(LEN(AD74)&gt;=4," / "&amp;VLOOKUP(RIGHT(LEFT(AD74,4),2),Voorblad!$X$67:$Y$98,2),"")&amp;IF(LEN(AD74)&gt;=6," / "&amp;VLOOKUP(RIGHT(LEFT(AD74,6),2),Voorblad!$X$67:$Y$98,2),"")&amp;IF(LEN(AD74)&gt;=8," / "&amp;VLOOKUP(RIGHT(LEFT(AD74,8),2),Voorblad!$X$67:$Y$98,2),"")</f>
        <v/>
      </c>
      <c r="AE78" s="503" t="str">
        <f>IF(LEN(AE74)&gt;=2,VLOOKUP(LEFT(AE74,2),Voorblad!$X$67:$Y$98,2),"")&amp;IF(LEN(AE74)&gt;=4," / "&amp;VLOOKUP(RIGHT(LEFT(AE74,4),2),Voorblad!$X$67:$Y$98,2),"")&amp;IF(LEN(AE74)&gt;=6," / "&amp;VLOOKUP(RIGHT(LEFT(AE74,6),2),Voorblad!$X$67:$Y$98,2),"")&amp;IF(LEN(AE74)&gt;=8," / "&amp;VLOOKUP(RIGHT(LEFT(AE74,8),2),Voorblad!$X$67:$Y$98,2),"")</f>
        <v/>
      </c>
      <c r="AF78" s="503" t="str">
        <f>IF(LEN(AF74)&gt;=2,VLOOKUP(LEFT(AF74,2),Voorblad!$X$67:$Y$98,2),"")&amp;IF(LEN(AF74)&gt;=4," / "&amp;VLOOKUP(RIGHT(LEFT(AF74,4),2),Voorblad!$X$67:$Y$98,2),"")&amp;IF(LEN(AF74)&gt;=6," / "&amp;VLOOKUP(RIGHT(LEFT(AF74,6),2),Voorblad!$X$67:$Y$98,2),"")&amp;IF(LEN(AF74)&gt;=8," / "&amp;VLOOKUP(RIGHT(LEFT(AF74,8),2),Voorblad!$X$67:$Y$98,2),"")</f>
        <v/>
      </c>
      <c r="AG78" s="503" t="str">
        <f ca="1">IF(LEN(AG74)&gt;=2,VLOOKUP(LEFT(AG74,2),Voorblad!$X$67:$Y$98,2),"")&amp;IF(LEN(AG74)&gt;=4," / "&amp;VLOOKUP(RIGHT(LEFT(AG74,4),2),Voorblad!$X$67:$Y$98,2),"")&amp;IF(LEN(AG74)&gt;=6," / "&amp;VLOOKUP(RIGHT(LEFT(AG74,6),2),Voorblad!$X$67:$Y$98,2),"")&amp;IF(LEN(AG74)&gt;=8," / "&amp;VLOOKUP(RIGHT(LEFT(AG74,8),2),Voorblad!$X$67:$Y$98,2),"")</f>
        <v/>
      </c>
      <c r="AH78" s="161" t="str">
        <f ca="1">RIGHT(AJ73,1)&amp;4</f>
        <v>H4</v>
      </c>
      <c r="AI78" s="158">
        <f ca="1">$AX$90</f>
        <v>4</v>
      </c>
      <c r="AJ78" s="494" t="str">
        <f ca="1">VLOOKUP(AH78,Voorblad!$X$67:$Z$98,2,FALSE)</f>
        <v>ZZZ_land_H4</v>
      </c>
      <c r="AK78" s="495" t="str">
        <f ca="1">VLOOKUP(AH78,Voorblad!$X$67:$Z$98,3,FALSE)</f>
        <v>ZH</v>
      </c>
      <c r="AL78" s="433">
        <f>IF(ISNUMBER(T60),IF(T60=1,3,IF(T60=3,1,0)),0)</f>
        <v>0</v>
      </c>
      <c r="AM78" s="434">
        <f>IF(ISNUMBER(T57),IF(T57=1,3,IF(T57=3,1,0)),0)</f>
        <v>0</v>
      </c>
      <c r="AN78" s="434">
        <f>IF(ISNUMBER(T55),IF(T55=2,3,IF(T55=3,1,0)),0)</f>
        <v>0</v>
      </c>
      <c r="AO78" s="254">
        <v>0</v>
      </c>
      <c r="AP78" s="463">
        <f>IF(AD59&lt;&gt;"FOUT",IF(AM78&gt;AO76,3,IF(AM78=AO76,1,0)),0)+IF(AD57&lt;&gt;"FOUT",IF(AN78&gt;AO77,3,IF(AN78=AO77,1,0)),0)+IF(AD55&lt;&gt;"FOUT",IF(AL78&gt;AO75,3,IF(AL78=AO75,1,0)),0)</f>
        <v>0</v>
      </c>
      <c r="AQ78" s="512">
        <f>SUM(AL78:AO78)*0</f>
        <v>0</v>
      </c>
      <c r="AR78" s="513">
        <f>SUM(AO75:AO78)*0</f>
        <v>0</v>
      </c>
      <c r="AS78" s="495">
        <f>IF($AP78=$AP75,AL78,0)</f>
        <v>0</v>
      </c>
      <c r="AT78" s="496">
        <f>IF($AP78=$AP76,AM78,0)</f>
        <v>0</v>
      </c>
      <c r="AU78" s="496">
        <f>IF($AP78=$AP77,AN78,0)</f>
        <v>0</v>
      </c>
      <c r="AV78" s="190">
        <v>0</v>
      </c>
      <c r="AW78" s="463">
        <f>IF(AS78&gt;AV75,3,IF(AS78=AV75,1,0))+IF(AT78&gt;AV76,3,IF(AT78=AV76,1,0))+IF(AU78&gt;AV77,3,IF(AU78=AV77,1,0))</f>
        <v>3</v>
      </c>
      <c r="AX78" s="512">
        <f>SUM(AS78:AV78)*0</f>
        <v>0</v>
      </c>
      <c r="AY78" s="434">
        <f>SUM(AV75:AV78)*0</f>
        <v>0</v>
      </c>
      <c r="AZ78" s="197">
        <f ca="1">AP78*10000000000000+(500+AQ78-AR78)*10000000000+AQ78*100000000+AW78*1000000+(500+AX78-AY78)*1000+AX78*10+AI78</f>
        <v>5000003500004</v>
      </c>
      <c r="BA78" s="497">
        <f ca="1">RANK(AZ78,AZ75:AZ78)</f>
        <v>1</v>
      </c>
      <c r="BB78" s="507"/>
    </row>
    <row r="79" spans="1:54" ht="15" customHeight="1" x14ac:dyDescent="0.25">
      <c r="C79" s="156"/>
      <c r="D79" s="156"/>
      <c r="E79" s="156"/>
      <c r="F79" s="156"/>
      <c r="G79" s="156"/>
      <c r="H79" s="156"/>
      <c r="I79" s="156"/>
      <c r="J79" s="156"/>
      <c r="K79" s="156"/>
      <c r="L79" s="156"/>
      <c r="M79" s="156"/>
      <c r="N79" s="156"/>
      <c r="O79" s="156"/>
      <c r="P79" s="156"/>
      <c r="Q79" s="156"/>
      <c r="R79" s="156"/>
      <c r="S79" s="156"/>
      <c r="Y79" s="180" t="s">
        <v>211</v>
      </c>
      <c r="Z79" s="503" t="str">
        <f>IF(LEN(Z75)&gt;=2,VLOOKUP(LEFT(Z75,2),Voorblad!$X$67:$Y$98,2),"")&amp;IF(LEN(Z75)&gt;=4," / "&amp;VLOOKUP(RIGHT(LEFT(Z75,4),2),Voorblad!$X$67:$Y$98,2),"")&amp;IF(LEN(Z75)&gt;=6," / "&amp;VLOOKUP(RIGHT(LEFT(Z75,6),2),Voorblad!$X$67:$Y$98,2),"")&amp;IF(LEN(Z75)&gt;=8," / "&amp;VLOOKUP(RIGHT(LEFT(Z75,8),2),Voorblad!$X$67:$Y$98,2),"")</f>
        <v/>
      </c>
      <c r="AA79" s="503" t="str">
        <f>IF(LEN(AA75)&gt;=2,VLOOKUP(LEFT(AA75,2),Voorblad!$X$67:$Y$98,2),"")&amp;IF(LEN(AA75)&gt;=4," / "&amp;VLOOKUP(RIGHT(LEFT(AA75,4),2),Voorblad!$X$67:$Y$98,2),"")&amp;IF(LEN(AA75)&gt;=6," / "&amp;VLOOKUP(RIGHT(LEFT(AA75,6),2),Voorblad!$X$67:$Y$98,2),"")&amp;IF(LEN(AA75)&gt;=8," / "&amp;VLOOKUP(RIGHT(LEFT(AA75,8),2),Voorblad!$X$67:$Y$98,2),"")</f>
        <v/>
      </c>
      <c r="AB79" s="503" t="str">
        <f>IF(LEN(AB75)&gt;=2,VLOOKUP(LEFT(AB75,2),Voorblad!$X$67:$Y$98,2),"")&amp;IF(LEN(AB75)&gt;=4," / "&amp;VLOOKUP(RIGHT(LEFT(AB75,4),2),Voorblad!$X$67:$Y$98,2),"")&amp;IF(LEN(AB75)&gt;=6," / "&amp;VLOOKUP(RIGHT(LEFT(AB75,6),2),Voorblad!$X$67:$Y$98,2),"")&amp;IF(LEN(AB75)&gt;=8," / "&amp;VLOOKUP(RIGHT(LEFT(AB75,8),2),Voorblad!$X$67:$Y$98,2),"")</f>
        <v/>
      </c>
      <c r="AC79" s="503" t="str">
        <f>IF(LEN(AC75)&gt;=2,VLOOKUP(LEFT(AC75,2),Voorblad!$X$67:$Y$98,2),"")&amp;IF(LEN(AC75)&gt;=4," / "&amp;VLOOKUP(RIGHT(LEFT(AC75,4),2),Voorblad!$X$67:$Y$98,2),"")&amp;IF(LEN(AC75)&gt;=6," / "&amp;VLOOKUP(RIGHT(LEFT(AC75,6),2),Voorblad!$X$67:$Y$98,2),"")&amp;IF(LEN(AC75)&gt;=8," / "&amp;VLOOKUP(RIGHT(LEFT(AC75,8),2),Voorblad!$X$67:$Y$98,2),"")</f>
        <v/>
      </c>
      <c r="AD79" s="503" t="str">
        <f>IF(LEN(AD75)&gt;=2,VLOOKUP(LEFT(AD75,2),Voorblad!$X$67:$Y$98,2),"")&amp;IF(LEN(AD75)&gt;=4," / "&amp;VLOOKUP(RIGHT(LEFT(AD75,4),2),Voorblad!$X$67:$Y$98,2),"")&amp;IF(LEN(AD75)&gt;=6," / "&amp;VLOOKUP(RIGHT(LEFT(AD75,6),2),Voorblad!$X$67:$Y$98,2),"")&amp;IF(LEN(AD75)&gt;=8," / "&amp;VLOOKUP(RIGHT(LEFT(AD75,8),2),Voorblad!$X$67:$Y$98,2),"")</f>
        <v/>
      </c>
      <c r="AE79" s="503" t="str">
        <f>IF(LEN(AE75)&gt;=2,VLOOKUP(LEFT(AE75,2),Voorblad!$X$67:$Y$98,2),"")&amp;IF(LEN(AE75)&gt;=4," / "&amp;VLOOKUP(RIGHT(LEFT(AE75,4),2),Voorblad!$X$67:$Y$98,2),"")&amp;IF(LEN(AE75)&gt;=6," / "&amp;VLOOKUP(RIGHT(LEFT(AE75,6),2),Voorblad!$X$67:$Y$98,2),"")&amp;IF(LEN(AE75)&gt;=8," / "&amp;VLOOKUP(RIGHT(LEFT(AE75,8),2),Voorblad!$X$67:$Y$98,2),"")</f>
        <v/>
      </c>
      <c r="AF79" s="503" t="str">
        <f>IF(LEN(AF75)&gt;=2,VLOOKUP(LEFT(AF75,2),Voorblad!$X$67:$Y$98,2),"")&amp;IF(LEN(AF75)&gt;=4," / "&amp;VLOOKUP(RIGHT(LEFT(AF75,4),2),Voorblad!$X$67:$Y$98,2),"")&amp;IF(LEN(AF75)&gt;=6," / "&amp;VLOOKUP(RIGHT(LEFT(AF75,6),2),Voorblad!$X$67:$Y$98,2),"")&amp;IF(LEN(AF75)&gt;=8," / "&amp;VLOOKUP(RIGHT(LEFT(AF75,8),2),Voorblad!$X$67:$Y$98,2),"")</f>
        <v/>
      </c>
      <c r="AG79" s="503" t="str">
        <f ca="1">IF(LEN(AG75)&gt;=2,VLOOKUP(LEFT(AG75,2),Voorblad!$X$67:$Y$98,2),"")&amp;IF(LEN(AG75)&gt;=4," / "&amp;VLOOKUP(RIGHT(LEFT(AG75,4),2),Voorblad!$X$67:$Y$98,2),"")&amp;IF(LEN(AG75)&gt;=6," / "&amp;VLOOKUP(RIGHT(LEFT(AG75,6),2),Voorblad!$X$67:$Y$98,2),"")&amp;IF(LEN(AG75)&gt;=8," / "&amp;VLOOKUP(RIGHT(LEFT(AG75,8),2),Voorblad!$X$67:$Y$98,2),"")</f>
        <v/>
      </c>
      <c r="AH79" s="172"/>
      <c r="AI79" s="498"/>
      <c r="AJ79" s="479" t="s">
        <v>231</v>
      </c>
      <c r="AK79" s="479" t="str">
        <f ca="1">IF(COUNTIF(AB53:AB60,"GOED")=6,"JA","NEE")</f>
        <v>NEE</v>
      </c>
      <c r="AL79" s="499"/>
      <c r="AM79" s="499"/>
      <c r="AN79" s="499"/>
      <c r="AO79" s="499"/>
      <c r="AP79" s="70"/>
      <c r="AQ79" s="500"/>
      <c r="AR79" s="500"/>
      <c r="AS79" s="501"/>
      <c r="AT79" s="501"/>
      <c r="AU79" s="501"/>
      <c r="AV79" s="501"/>
      <c r="AW79" s="501"/>
      <c r="AX79" s="501"/>
      <c r="AY79" s="498"/>
      <c r="AZ79" s="498"/>
      <c r="BA79" s="498"/>
      <c r="BB79" s="507"/>
    </row>
    <row r="80" spans="1:54" ht="15" customHeight="1" x14ac:dyDescent="0.25">
      <c r="C80" s="156"/>
      <c r="D80" s="156"/>
      <c r="E80" s="156"/>
      <c r="F80" s="156"/>
      <c r="G80" s="156"/>
      <c r="H80" s="156"/>
      <c r="I80" s="156"/>
      <c r="J80" s="156"/>
      <c r="K80" s="156"/>
      <c r="L80" s="156"/>
      <c r="M80" s="156"/>
      <c r="N80" s="156"/>
      <c r="O80" s="156"/>
      <c r="P80" s="156"/>
      <c r="Q80" s="156"/>
      <c r="R80" s="156"/>
      <c r="S80" s="156"/>
      <c r="Y80" s="506"/>
      <c r="Z80" s="506"/>
      <c r="AA80" s="506"/>
      <c r="AB80" s="506"/>
      <c r="AC80" s="506"/>
      <c r="AD80" s="506"/>
      <c r="AE80" s="503"/>
      <c r="AF80" s="503"/>
      <c r="AG80" s="503"/>
      <c r="AH80" s="172"/>
      <c r="AI80" s="498"/>
      <c r="AJ80" s="498"/>
      <c r="AK80" s="501"/>
      <c r="AL80" s="499"/>
      <c r="AM80" s="499"/>
      <c r="AN80" s="499"/>
      <c r="AO80" s="499"/>
      <c r="AP80" s="500"/>
      <c r="AQ80" s="500"/>
      <c r="AR80" s="500"/>
      <c r="AS80" s="501"/>
      <c r="AT80" s="501"/>
      <c r="AU80" s="501"/>
      <c r="AV80" s="501"/>
      <c r="AW80" s="501"/>
      <c r="AX80" s="501"/>
      <c r="AY80" s="498"/>
      <c r="AZ80" s="498"/>
      <c r="BA80" s="479"/>
      <c r="BB80" s="507"/>
    </row>
    <row r="81" spans="3:53" x14ac:dyDescent="0.25">
      <c r="C81" s="156"/>
      <c r="D81" s="156"/>
      <c r="E81" s="156"/>
      <c r="F81" s="156"/>
      <c r="G81" s="156"/>
      <c r="H81" s="156"/>
      <c r="I81" s="156"/>
      <c r="J81" s="156"/>
      <c r="K81" s="156"/>
      <c r="L81" s="156"/>
      <c r="M81" s="156"/>
      <c r="N81" s="156"/>
      <c r="O81" s="156"/>
      <c r="P81" s="156"/>
      <c r="Q81" s="156"/>
      <c r="R81" s="156"/>
      <c r="S81" s="156"/>
      <c r="Y81" s="1221" t="s">
        <v>534</v>
      </c>
      <c r="Z81" s="1221"/>
      <c r="AA81" s="76"/>
      <c r="AB81" s="76"/>
      <c r="AC81" s="76"/>
      <c r="AD81" s="76"/>
      <c r="AE81" s="90"/>
      <c r="AF81" s="90"/>
      <c r="AG81" s="90"/>
      <c r="AH81" s="1260" t="s">
        <v>933</v>
      </c>
      <c r="AI81" s="1260"/>
      <c r="AJ81" s="1260"/>
      <c r="AK81" s="1260"/>
      <c r="AL81" s="65"/>
      <c r="AM81" s="65"/>
      <c r="AN81" s="65"/>
      <c r="AO81" s="65"/>
      <c r="AP81" s="65"/>
      <c r="AQ81" s="65"/>
      <c r="AR81" s="65"/>
      <c r="AS81" s="216"/>
      <c r="AT81" s="216"/>
      <c r="AU81" s="216"/>
      <c r="AV81" s="216"/>
      <c r="AW81" s="216"/>
      <c r="AX81" s="216"/>
      <c r="AY81" s="216"/>
      <c r="AZ81" s="216"/>
      <c r="BA81" s="216"/>
    </row>
    <row r="82" spans="3:53" x14ac:dyDescent="0.25">
      <c r="Y82" s="1221"/>
      <c r="Z82" s="1221"/>
      <c r="AA82" s="76"/>
      <c r="AB82" s="76"/>
      <c r="AC82" s="76"/>
      <c r="AD82" s="76"/>
      <c r="AE82" s="90"/>
      <c r="AF82" s="90"/>
      <c r="AG82" s="90"/>
      <c r="AH82" s="1260"/>
      <c r="AI82" s="1260"/>
      <c r="AJ82" s="1260"/>
      <c r="AK82" s="1260"/>
      <c r="AL82" s="65"/>
      <c r="AM82" s="65"/>
      <c r="AN82" s="65"/>
      <c r="AO82" s="65"/>
      <c r="AP82" s="65"/>
      <c r="AQ82" s="65"/>
      <c r="AR82" s="65"/>
      <c r="AS82" s="216"/>
      <c r="AT82" s="216"/>
      <c r="AU82" s="216"/>
      <c r="AV82" s="216"/>
      <c r="AW82" s="216"/>
      <c r="AX82" s="216"/>
      <c r="AY82" s="216"/>
      <c r="AZ82" s="650" t="str">
        <f ca="1">Taal02!B48</f>
        <v>B4E1C2A1C4D4F2A3B3B2D2E4D3D1F3E3A2C3C1E2B1F4F1A4G1G2G3G4H1H2H3H4</v>
      </c>
      <c r="BA82" s="216"/>
    </row>
    <row r="83" spans="3:53" x14ac:dyDescent="0.25">
      <c r="Y83" s="76"/>
      <c r="Z83" s="186" t="s">
        <v>542</v>
      </c>
      <c r="AA83" s="551" t="str">
        <f>IF($AD$21=1,Reglement!$H$88,"NEE")</f>
        <v>JA</v>
      </c>
      <c r="AB83" s="76"/>
      <c r="AC83" s="76"/>
      <c r="AD83" s="76"/>
      <c r="AE83" s="90"/>
      <c r="AF83" s="90"/>
      <c r="AG83" s="90"/>
      <c r="AH83" s="65"/>
      <c r="AI83" s="65"/>
      <c r="AJ83" s="651" t="str">
        <f ca="1">AJ10</f>
        <v>Groep A</v>
      </c>
      <c r="AK83" s="649">
        <f t="shared" ref="AK83:AK90" ca="1" si="29">FIND(RIGHT($AJ83,1),$AZ$82)</f>
        <v>7</v>
      </c>
      <c r="AL83" s="649">
        <f t="shared" ref="AL83:AN90" ca="1" si="30">FIND(RIGHT($AJ83,1),$AZ$82,AK83+1)</f>
        <v>15</v>
      </c>
      <c r="AM83" s="649">
        <f t="shared" ca="1" si="30"/>
        <v>33</v>
      </c>
      <c r="AN83" s="649">
        <f t="shared" ca="1" si="30"/>
        <v>47</v>
      </c>
      <c r="AO83" s="65"/>
      <c r="AP83" s="440" t="str">
        <f ca="1">RIGHT(LEFT($AZ$82,AK83+1),2)</f>
        <v>A1</v>
      </c>
      <c r="AQ83" s="440" t="str">
        <f ca="1">RIGHT(LEFT($AZ$82,AL83+1),2)</f>
        <v>A3</v>
      </c>
      <c r="AR83" s="440" t="str">
        <f ca="1">RIGHT(LEFT($AZ$82,AM83+1),2)</f>
        <v>A2</v>
      </c>
      <c r="AS83" s="440" t="str">
        <f ca="1">RIGHT(LEFT($AZ$82,AN83+1),2)</f>
        <v>A4</v>
      </c>
      <c r="AT83" s="216"/>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16"/>
      <c r="AZ83" s="216"/>
      <c r="BA83" s="216"/>
    </row>
    <row r="84" spans="3:53" x14ac:dyDescent="0.25">
      <c r="Y84" s="76"/>
      <c r="Z84" s="186" t="s">
        <v>541</v>
      </c>
      <c r="AA84" s="547" t="str">
        <f>TRIM(P6)</f>
        <v/>
      </c>
      <c r="AB84" s="548"/>
      <c r="AC84" s="548"/>
      <c r="AD84" s="548"/>
      <c r="AE84" s="548"/>
      <c r="AF84" s="548"/>
      <c r="AG84" s="548"/>
      <c r="AH84" s="65"/>
      <c r="AI84" s="65"/>
      <c r="AJ84" s="651" t="str">
        <f ca="1">AJ19</f>
        <v>Groep B</v>
      </c>
      <c r="AK84" s="649">
        <f t="shared" ca="1" si="29"/>
        <v>1</v>
      </c>
      <c r="AL84" s="649">
        <f t="shared" ca="1" si="30"/>
        <v>17</v>
      </c>
      <c r="AM84" s="649">
        <f t="shared" ca="1" si="30"/>
        <v>19</v>
      </c>
      <c r="AN84" s="649">
        <f t="shared" ca="1" si="30"/>
        <v>41</v>
      </c>
      <c r="AO84" s="65"/>
      <c r="AP84" s="440" t="str">
        <f t="shared" ref="AP84:AS90" ca="1" si="31">RIGHT(LEFT($AZ$82,AK84+1),2)</f>
        <v>B4</v>
      </c>
      <c r="AQ84" s="440" t="str">
        <f t="shared" ca="1" si="31"/>
        <v>B3</v>
      </c>
      <c r="AR84" s="440" t="str">
        <f t="shared" ca="1" si="31"/>
        <v>B2</v>
      </c>
      <c r="AS84" s="440" t="str">
        <f t="shared" ca="1" si="31"/>
        <v>B1</v>
      </c>
      <c r="AT84" s="216"/>
      <c r="AU84" s="263">
        <f t="shared" ref="AU84:AU90" ca="1" si="32">IF($AP84=RIGHT($AJ84,1)&amp;"1",1,IF($AQ84=RIGHT($AJ84,1)&amp;"1",2,IF($AR84=RIGHT($AJ84,1)&amp;"1",3,IF($AS84=RIGHT($AJ84,1)&amp;"1",4,5))))</f>
        <v>4</v>
      </c>
      <c r="AV84" s="263">
        <f t="shared" ref="AV84:AV90" ca="1" si="33">IF($AP84=RIGHT($AJ84,1)&amp;"2",1,IF($AQ84=RIGHT($AJ84,1)&amp;"2",2,IF($AR84=RIGHT($AJ84,1)&amp;"2",3,IF($AS84=RIGHT($AJ84,1)&amp;"2",4,5))))</f>
        <v>3</v>
      </c>
      <c r="AW84" s="263">
        <f t="shared" ref="AW84:AW90" ca="1" si="34">IF($AP84=RIGHT($AJ84,1)&amp;"3",1,IF($AQ84=RIGHT($AJ84,1)&amp;"3",2,IF($AR84=RIGHT($AJ84,1)&amp;"3",3,IF($AS84=RIGHT($AJ84,1)&amp;"3",4,5))))</f>
        <v>2</v>
      </c>
      <c r="AX84" s="263">
        <f t="shared" ref="AX84:AX90" ca="1" si="35">IF($AP84=RIGHT($AJ84,1)&amp;"4",1,IF($AQ84=RIGHT($AJ84,1)&amp;"4",2,IF($AR84=RIGHT($AJ84,1)&amp;"4",3,IF($AS84=RIGHT($AJ84,1)&amp;"4",4,5))))</f>
        <v>1</v>
      </c>
      <c r="AY84" s="216"/>
      <c r="AZ84" s="216"/>
      <c r="BA84" s="216"/>
    </row>
    <row r="85" spans="3:53" x14ac:dyDescent="0.25">
      <c r="Y85" s="76"/>
      <c r="Z85" s="186" t="s">
        <v>543</v>
      </c>
      <c r="AA85" s="187" t="s">
        <v>194</v>
      </c>
      <c r="AB85" s="187" t="s">
        <v>535</v>
      </c>
      <c r="AC85" s="187" t="s">
        <v>536</v>
      </c>
      <c r="AD85" s="187" t="s">
        <v>537</v>
      </c>
      <c r="AE85" s="90"/>
      <c r="AF85" s="90"/>
      <c r="AG85" s="90"/>
      <c r="AH85" s="65"/>
      <c r="AI85" s="65"/>
      <c r="AJ85" s="651" t="str">
        <f ca="1">AJ28</f>
        <v>Groep C</v>
      </c>
      <c r="AK85" s="649">
        <f t="shared" ca="1" si="29"/>
        <v>5</v>
      </c>
      <c r="AL85" s="649">
        <f t="shared" ca="1" si="30"/>
        <v>9</v>
      </c>
      <c r="AM85" s="649">
        <f t="shared" ca="1" si="30"/>
        <v>35</v>
      </c>
      <c r="AN85" s="649">
        <f t="shared" ca="1" si="30"/>
        <v>37</v>
      </c>
      <c r="AO85" s="65"/>
      <c r="AP85" s="440" t="str">
        <f t="shared" ca="1" si="31"/>
        <v>C2</v>
      </c>
      <c r="AQ85" s="440" t="str">
        <f t="shared" ca="1" si="31"/>
        <v>C4</v>
      </c>
      <c r="AR85" s="440" t="str">
        <f t="shared" ca="1" si="31"/>
        <v>C3</v>
      </c>
      <c r="AS85" s="440" t="str">
        <f t="shared" ca="1" si="31"/>
        <v>C1</v>
      </c>
      <c r="AT85" s="216"/>
      <c r="AU85" s="263">
        <f t="shared" ca="1" si="32"/>
        <v>4</v>
      </c>
      <c r="AV85" s="263">
        <f t="shared" ca="1" si="33"/>
        <v>1</v>
      </c>
      <c r="AW85" s="263">
        <f t="shared" ca="1" si="34"/>
        <v>3</v>
      </c>
      <c r="AX85" s="263">
        <f t="shared" ca="1" si="35"/>
        <v>2</v>
      </c>
      <c r="AY85" s="216"/>
      <c r="AZ85" s="216"/>
      <c r="BA85" s="216"/>
    </row>
    <row r="86" spans="3:53" x14ac:dyDescent="0.25">
      <c r="Y86" s="76"/>
      <c r="Z86" s="186" t="s">
        <v>544</v>
      </c>
      <c r="AA86" s="549" t="str">
        <f>IF(ISBLANK($AA$84),"LEEG",IF(LEN($AA$84)&lt;=64,"GOED","FOUT"))</f>
        <v>GOED</v>
      </c>
      <c r="AB86" s="549" t="str">
        <f>IF(ISBLANK($AA$84),"LEEG",IF(LEN($AA$84)=LEN(SUBSTITUTE($AA$84," ","controle")),"GOED","FOUT"))</f>
        <v>GOED</v>
      </c>
      <c r="AC86" s="549" t="str">
        <f>IF(ISBLANK($AA$84),"LEEG",IF(AND(LEN($AA$84)&lt;&gt;LEN(SUBSTITUTE($AA$84,"@","controle")),LEN($AA$84)+7=LEN(SUBSTITUTE($AA$84,"@","controle"))),"GOED","FOUT"))</f>
        <v>FOUT</v>
      </c>
      <c r="AD86" s="549" t="str">
        <f>IF(ISBLANK($AA$84),"LEEG",IF($AC$87="nvt","nvt",IF(LEN($AD$87)&lt;&gt;LEN(SUBSTITUTE($AD$87,".","controle")),"GOED","FOUT")))</f>
        <v>nvt</v>
      </c>
      <c r="AE86" s="90" t="s">
        <v>330</v>
      </c>
      <c r="AF86" s="90"/>
      <c r="AG86" s="90"/>
      <c r="AH86" s="65"/>
      <c r="AI86" s="65"/>
      <c r="AJ86" s="651" t="str">
        <f ca="1">AJ37</f>
        <v>Groep D</v>
      </c>
      <c r="AK86" s="649">
        <f t="shared" ca="1" si="29"/>
        <v>11</v>
      </c>
      <c r="AL86" s="649">
        <f t="shared" ca="1" si="30"/>
        <v>21</v>
      </c>
      <c r="AM86" s="649">
        <f t="shared" ca="1" si="30"/>
        <v>25</v>
      </c>
      <c r="AN86" s="649">
        <f t="shared" ca="1" si="30"/>
        <v>27</v>
      </c>
      <c r="AO86" s="65"/>
      <c r="AP86" s="440" t="str">
        <f t="shared" ca="1" si="31"/>
        <v>D4</v>
      </c>
      <c r="AQ86" s="440" t="str">
        <f t="shared" ca="1" si="31"/>
        <v>D2</v>
      </c>
      <c r="AR86" s="440" t="str">
        <f t="shared" ca="1" si="31"/>
        <v>D3</v>
      </c>
      <c r="AS86" s="440" t="str">
        <f t="shared" ca="1" si="31"/>
        <v>D1</v>
      </c>
      <c r="AT86" s="216"/>
      <c r="AU86" s="263">
        <f t="shared" ca="1" si="32"/>
        <v>4</v>
      </c>
      <c r="AV86" s="263">
        <f t="shared" ca="1" si="33"/>
        <v>2</v>
      </c>
      <c r="AW86" s="263">
        <f t="shared" ca="1" si="34"/>
        <v>3</v>
      </c>
      <c r="AX86" s="263">
        <f t="shared" ca="1" si="35"/>
        <v>1</v>
      </c>
      <c r="AY86" s="216"/>
      <c r="AZ86" s="216"/>
      <c r="BA86" s="216"/>
    </row>
    <row r="87" spans="3:53" x14ac:dyDescent="0.25">
      <c r="Y87" s="76"/>
      <c r="Z87" s="186" t="s">
        <v>538</v>
      </c>
      <c r="AA87" s="187" t="str">
        <f>IF(LEN(AA84)&lt;10,LEN(AA84)&amp;"#",LEN(AA84))</f>
        <v>0#</v>
      </c>
      <c r="AB87" s="187"/>
      <c r="AC87" s="550" t="str">
        <f>IF(AC86="GOED",SEARCH("@",$AA$84),"nvt")</f>
        <v>nvt</v>
      </c>
      <c r="AD87" s="550" t="str">
        <f>IF(AC87="nvt","nvt",RIGHT(AA84,LEN(AA84)-AC87))</f>
        <v>nvt</v>
      </c>
      <c r="AE87" s="90" t="s">
        <v>330</v>
      </c>
      <c r="AF87" s="90"/>
      <c r="AG87" s="90"/>
      <c r="AH87" s="65"/>
      <c r="AI87" s="65"/>
      <c r="AJ87" s="651" t="str">
        <f ca="1">AJ46</f>
        <v>Groep E</v>
      </c>
      <c r="AK87" s="649">
        <f t="shared" ca="1" si="29"/>
        <v>3</v>
      </c>
      <c r="AL87" s="649">
        <f t="shared" ca="1" si="30"/>
        <v>23</v>
      </c>
      <c r="AM87" s="649">
        <f t="shared" ca="1" si="30"/>
        <v>31</v>
      </c>
      <c r="AN87" s="649">
        <f t="shared" ca="1" si="30"/>
        <v>39</v>
      </c>
      <c r="AO87" s="65"/>
      <c r="AP87" s="440" t="str">
        <f t="shared" ca="1" si="31"/>
        <v>E1</v>
      </c>
      <c r="AQ87" s="440" t="str">
        <f t="shared" ca="1" si="31"/>
        <v>E4</v>
      </c>
      <c r="AR87" s="440" t="str">
        <f t="shared" ca="1" si="31"/>
        <v>E3</v>
      </c>
      <c r="AS87" s="440" t="str">
        <f t="shared" ca="1" si="31"/>
        <v>E2</v>
      </c>
      <c r="AT87" s="216"/>
      <c r="AU87" s="263">
        <f t="shared" ca="1" si="32"/>
        <v>1</v>
      </c>
      <c r="AV87" s="263">
        <f t="shared" ca="1" si="33"/>
        <v>4</v>
      </c>
      <c r="AW87" s="263">
        <f t="shared" ca="1" si="34"/>
        <v>3</v>
      </c>
      <c r="AX87" s="263">
        <f t="shared" ca="1" si="35"/>
        <v>2</v>
      </c>
      <c r="AY87" s="216"/>
      <c r="AZ87" s="216"/>
      <c r="BA87" s="216"/>
    </row>
    <row r="88" spans="3:53" x14ac:dyDescent="0.25">
      <c r="Y88" s="90"/>
      <c r="Z88" s="186" t="s">
        <v>539</v>
      </c>
      <c r="AA88" s="1222" t="str">
        <f>"|"&amp;AA84&amp;AA87</f>
        <v>|0#</v>
      </c>
      <c r="AB88" s="1223"/>
      <c r="AC88" s="1223"/>
      <c r="AD88" s="1223"/>
      <c r="AE88" s="1224"/>
      <c r="AF88" s="90"/>
      <c r="AG88" s="90"/>
      <c r="AH88" s="65"/>
      <c r="AI88" s="65"/>
      <c r="AJ88" s="651" t="str">
        <f ca="1">AJ55</f>
        <v>Groep F</v>
      </c>
      <c r="AK88" s="649">
        <f t="shared" ca="1" si="29"/>
        <v>13</v>
      </c>
      <c r="AL88" s="649">
        <f t="shared" ca="1" si="30"/>
        <v>29</v>
      </c>
      <c r="AM88" s="649">
        <f t="shared" ca="1" si="30"/>
        <v>43</v>
      </c>
      <c r="AN88" s="649">
        <f t="shared" ca="1" si="30"/>
        <v>45</v>
      </c>
      <c r="AO88" s="65"/>
      <c r="AP88" s="440" t="str">
        <f t="shared" ca="1" si="31"/>
        <v>F2</v>
      </c>
      <c r="AQ88" s="440" t="str">
        <f t="shared" ca="1" si="31"/>
        <v>F3</v>
      </c>
      <c r="AR88" s="440" t="str">
        <f t="shared" ca="1" si="31"/>
        <v>F4</v>
      </c>
      <c r="AS88" s="440" t="str">
        <f t="shared" ca="1" si="31"/>
        <v>F1</v>
      </c>
      <c r="AT88" s="216"/>
      <c r="AU88" s="263">
        <f t="shared" ca="1" si="32"/>
        <v>4</v>
      </c>
      <c r="AV88" s="263">
        <f t="shared" ca="1" si="33"/>
        <v>1</v>
      </c>
      <c r="AW88" s="263">
        <f t="shared" ca="1" si="34"/>
        <v>2</v>
      </c>
      <c r="AX88" s="263">
        <f t="shared" ca="1" si="35"/>
        <v>3</v>
      </c>
      <c r="AY88" s="216"/>
      <c r="AZ88" s="216"/>
      <c r="BA88" s="216"/>
    </row>
    <row r="89" spans="3:53" x14ac:dyDescent="0.25">
      <c r="Y89" s="76"/>
      <c r="Z89" s="186" t="s">
        <v>540</v>
      </c>
      <c r="AA89" s="551" t="str">
        <f>IF(ISBLANK($P$6)=TRUE,IF(AA83="NEE","OPTIE","LEEG"),IF(AND(AA86="GOED",AB86="GOED",AC86="GOED",AD86="GOED"),"GOED","FOUT"))</f>
        <v>LEEG</v>
      </c>
      <c r="AB89" s="90"/>
      <c r="AC89" s="90"/>
      <c r="AD89" s="90"/>
      <c r="AE89" s="90"/>
      <c r="AF89" s="90"/>
      <c r="AG89" s="90"/>
      <c r="AH89" s="65"/>
      <c r="AI89" s="65"/>
      <c r="AJ89" s="651" t="str">
        <f ca="1">AJ64</f>
        <v>Groep G</v>
      </c>
      <c r="AK89" s="649">
        <f t="shared" ca="1" si="29"/>
        <v>49</v>
      </c>
      <c r="AL89" s="649">
        <f t="shared" ca="1" si="30"/>
        <v>51</v>
      </c>
      <c r="AM89" s="649">
        <f t="shared" ca="1" si="30"/>
        <v>53</v>
      </c>
      <c r="AN89" s="649">
        <f t="shared" ca="1" si="30"/>
        <v>55</v>
      </c>
      <c r="AO89" s="65"/>
      <c r="AP89" s="440" t="str">
        <f t="shared" ca="1" si="31"/>
        <v>G1</v>
      </c>
      <c r="AQ89" s="440" t="str">
        <f t="shared" ca="1" si="31"/>
        <v>G2</v>
      </c>
      <c r="AR89" s="440" t="str">
        <f t="shared" ca="1" si="31"/>
        <v>G3</v>
      </c>
      <c r="AS89" s="440" t="str">
        <f t="shared" ca="1" si="31"/>
        <v>G4</v>
      </c>
      <c r="AT89" s="216"/>
      <c r="AU89" s="263">
        <f t="shared" ca="1" si="32"/>
        <v>1</v>
      </c>
      <c r="AV89" s="263">
        <f t="shared" ca="1" si="33"/>
        <v>2</v>
      </c>
      <c r="AW89" s="263">
        <f t="shared" ca="1" si="34"/>
        <v>3</v>
      </c>
      <c r="AX89" s="263">
        <f t="shared" ca="1" si="35"/>
        <v>4</v>
      </c>
      <c r="AY89" s="216"/>
      <c r="AZ89" s="216"/>
      <c r="BA89" s="216"/>
    </row>
    <row r="90" spans="3:53" x14ac:dyDescent="0.25">
      <c r="Y90" s="76"/>
      <c r="Z90" s="186"/>
      <c r="AA90" s="76"/>
      <c r="AB90" s="76"/>
      <c r="AC90" s="76"/>
      <c r="AD90" s="76"/>
      <c r="AE90" s="90"/>
      <c r="AF90" s="90"/>
      <c r="AG90" s="90"/>
      <c r="AH90" s="65"/>
      <c r="AI90" s="65"/>
      <c r="AJ90" s="651" t="str">
        <f ca="1">AJ73</f>
        <v>Groep H</v>
      </c>
      <c r="AK90" s="649">
        <f t="shared" ca="1" si="29"/>
        <v>57</v>
      </c>
      <c r="AL90" s="649">
        <f t="shared" ca="1" si="30"/>
        <v>59</v>
      </c>
      <c r="AM90" s="649">
        <f t="shared" ca="1" si="30"/>
        <v>61</v>
      </c>
      <c r="AN90" s="649">
        <f t="shared" ca="1" si="30"/>
        <v>63</v>
      </c>
      <c r="AO90" s="65"/>
      <c r="AP90" s="440" t="str">
        <f t="shared" ca="1" si="31"/>
        <v>H1</v>
      </c>
      <c r="AQ90" s="440" t="str">
        <f t="shared" ca="1" si="31"/>
        <v>H2</v>
      </c>
      <c r="AR90" s="440" t="str">
        <f t="shared" ca="1" si="31"/>
        <v>H3</v>
      </c>
      <c r="AS90" s="440" t="str">
        <f t="shared" ca="1" si="31"/>
        <v>H4</v>
      </c>
      <c r="AT90" s="216"/>
      <c r="AU90" s="263">
        <f t="shared" ca="1" si="32"/>
        <v>1</v>
      </c>
      <c r="AV90" s="263">
        <f t="shared" ca="1" si="33"/>
        <v>2</v>
      </c>
      <c r="AW90" s="263">
        <f t="shared" ca="1" si="34"/>
        <v>3</v>
      </c>
      <c r="AX90" s="263">
        <f t="shared" ca="1" si="35"/>
        <v>4</v>
      </c>
      <c r="AY90" s="216"/>
      <c r="AZ90" s="216"/>
      <c r="BA90" s="216"/>
    </row>
  </sheetData>
  <sheetProtection algorithmName="SHA-512" hashValue="wNRdsKSmqV0iQ7sNj06P8/bdN1rWG+C4sRA8p4ePMCkmtcfaQH9Jrbd2EeRYAWLf3IdSbmyzheLKv9FAUVl+HA==" saltValue="w6F7gwZOcjcPCGis6jQ2aQ==" spinCount="100000" sheet="1" objects="1" scenarios="1" selectLockedCells="1"/>
  <dataConsolidate/>
  <mergeCells count="243">
    <mergeCell ref="AH81:AK82"/>
    <mergeCell ref="J54:L54"/>
    <mergeCell ref="J49:L49"/>
    <mergeCell ref="J50:L50"/>
    <mergeCell ref="J35:L35"/>
    <mergeCell ref="J36:L36"/>
    <mergeCell ref="J38:L38"/>
    <mergeCell ref="J37:L37"/>
    <mergeCell ref="J39:L39"/>
    <mergeCell ref="J40:L40"/>
    <mergeCell ref="J46:L46"/>
    <mergeCell ref="J47:L47"/>
    <mergeCell ref="T59:V59"/>
    <mergeCell ref="AH71:AH74"/>
    <mergeCell ref="AI71:AI74"/>
    <mergeCell ref="AK71:AK74"/>
    <mergeCell ref="J58:L58"/>
    <mergeCell ref="J59:L59"/>
    <mergeCell ref="J60:L60"/>
    <mergeCell ref="T58:V58"/>
    <mergeCell ref="T57:V57"/>
    <mergeCell ref="Q54:S54"/>
    <mergeCell ref="T54:V54"/>
    <mergeCell ref="AH53:AH56"/>
    <mergeCell ref="T25:V25"/>
    <mergeCell ref="T26:V26"/>
    <mergeCell ref="J25:L25"/>
    <mergeCell ref="J26:L26"/>
    <mergeCell ref="J27:L27"/>
    <mergeCell ref="J28:L28"/>
    <mergeCell ref="J29:L29"/>
    <mergeCell ref="J30:L30"/>
    <mergeCell ref="J45:L45"/>
    <mergeCell ref="T37:V37"/>
    <mergeCell ref="AZ71:AZ74"/>
    <mergeCell ref="BA71:BA74"/>
    <mergeCell ref="BA62:BA65"/>
    <mergeCell ref="AY62:AY65"/>
    <mergeCell ref="AX71:AX74"/>
    <mergeCell ref="AY71:AY74"/>
    <mergeCell ref="AS71:AS74"/>
    <mergeCell ref="AT71:AT74"/>
    <mergeCell ref="AU71:AU74"/>
    <mergeCell ref="AV71:AV74"/>
    <mergeCell ref="AW71:AW74"/>
    <mergeCell ref="AP71:AP74"/>
    <mergeCell ref="AQ71:AQ74"/>
    <mergeCell ref="AR71:AR74"/>
    <mergeCell ref="AL71:AL74"/>
    <mergeCell ref="AM71:AM74"/>
    <mergeCell ref="AN71:AN74"/>
    <mergeCell ref="AO71:AO74"/>
    <mergeCell ref="AK53:AK56"/>
    <mergeCell ref="AL53:AL56"/>
    <mergeCell ref="AM53:AM56"/>
    <mergeCell ref="AN53:AN56"/>
    <mergeCell ref="AO53:AO56"/>
    <mergeCell ref="AP53:AP56"/>
    <mergeCell ref="AK62:AK65"/>
    <mergeCell ref="T60:V60"/>
    <mergeCell ref="AX53:AX56"/>
    <mergeCell ref="AY53:AY56"/>
    <mergeCell ref="AV62:AV65"/>
    <mergeCell ref="AW62:AW65"/>
    <mergeCell ref="AX62:AX65"/>
    <mergeCell ref="AL62:AL65"/>
    <mergeCell ref="AQ53:AQ56"/>
    <mergeCell ref="AR53:AR56"/>
    <mergeCell ref="AS53:AS56"/>
    <mergeCell ref="AT53:AT56"/>
    <mergeCell ref="AV53:AV56"/>
    <mergeCell ref="AI53:AI56"/>
    <mergeCell ref="AU53:AU56"/>
    <mergeCell ref="AW53:AW56"/>
    <mergeCell ref="Y63:AG65"/>
    <mergeCell ref="AH62:AH65"/>
    <mergeCell ref="AI62:AI65"/>
    <mergeCell ref="J55:L55"/>
    <mergeCell ref="J56:L56"/>
    <mergeCell ref="J57:L57"/>
    <mergeCell ref="T55:V55"/>
    <mergeCell ref="AW35:AW38"/>
    <mergeCell ref="AH35:AH38"/>
    <mergeCell ref="AI35:AI38"/>
    <mergeCell ref="T38:V38"/>
    <mergeCell ref="T39:V39"/>
    <mergeCell ref="T40:V40"/>
    <mergeCell ref="T45:V45"/>
    <mergeCell ref="T46:V46"/>
    <mergeCell ref="T48:V48"/>
    <mergeCell ref="Y43:AA43"/>
    <mergeCell ref="AB43:AD43"/>
    <mergeCell ref="T47:V47"/>
    <mergeCell ref="T49:V49"/>
    <mergeCell ref="T50:V50"/>
    <mergeCell ref="T56:V56"/>
    <mergeCell ref="J48:L48"/>
    <mergeCell ref="AM35:AM38"/>
    <mergeCell ref="T35:V35"/>
    <mergeCell ref="T36:V36"/>
    <mergeCell ref="AX35:AX38"/>
    <mergeCell ref="AY35:AY38"/>
    <mergeCell ref="AZ35:AZ38"/>
    <mergeCell ref="AT62:AT65"/>
    <mergeCell ref="AU62:AU65"/>
    <mergeCell ref="AM62:AM65"/>
    <mergeCell ref="AN62:AN65"/>
    <mergeCell ref="AO62:AO65"/>
    <mergeCell ref="AP62:AP65"/>
    <mergeCell ref="AQ62:AQ65"/>
    <mergeCell ref="AR62:AR65"/>
    <mergeCell ref="AZ53:AZ56"/>
    <mergeCell ref="AZ62:AZ65"/>
    <mergeCell ref="AS62:AS65"/>
    <mergeCell ref="AX44:AX47"/>
    <mergeCell ref="AY44:AY47"/>
    <mergeCell ref="AZ44:AZ47"/>
    <mergeCell ref="AO35:AO38"/>
    <mergeCell ref="AP35:AP38"/>
    <mergeCell ref="AQ35:AQ38"/>
    <mergeCell ref="AR35:AR38"/>
    <mergeCell ref="AS35:AS38"/>
    <mergeCell ref="AT35:AT38"/>
    <mergeCell ref="AN35:AN38"/>
    <mergeCell ref="G44:I44"/>
    <mergeCell ref="J44:L44"/>
    <mergeCell ref="Q44:S44"/>
    <mergeCell ref="T44:V44"/>
    <mergeCell ref="AH43:AH47"/>
    <mergeCell ref="AI43:AI47"/>
    <mergeCell ref="AK44:AK47"/>
    <mergeCell ref="BA44:BA47"/>
    <mergeCell ref="Y53:AA53"/>
    <mergeCell ref="AB53:AD53"/>
    <mergeCell ref="AR44:AR47"/>
    <mergeCell ref="AS44:AS47"/>
    <mergeCell ref="AT44:AT47"/>
    <mergeCell ref="AU44:AU47"/>
    <mergeCell ref="AV44:AV47"/>
    <mergeCell ref="AW44:AW47"/>
    <mergeCell ref="AL44:AL47"/>
    <mergeCell ref="AM44:AM47"/>
    <mergeCell ref="AN44:AN47"/>
    <mergeCell ref="AO44:AO47"/>
    <mergeCell ref="AP44:AP47"/>
    <mergeCell ref="AQ44:AQ47"/>
    <mergeCell ref="BA53:BA56"/>
    <mergeCell ref="G54:I54"/>
    <mergeCell ref="AY26:AY29"/>
    <mergeCell ref="AZ26:AZ29"/>
    <mergeCell ref="AO26:AO29"/>
    <mergeCell ref="AP26:AP29"/>
    <mergeCell ref="AQ26:AQ29"/>
    <mergeCell ref="AR26:AR29"/>
    <mergeCell ref="AS26:AS29"/>
    <mergeCell ref="AT26:AT29"/>
    <mergeCell ref="AH26:AH29"/>
    <mergeCell ref="AB33:AD33"/>
    <mergeCell ref="G34:I34"/>
    <mergeCell ref="J34:L34"/>
    <mergeCell ref="Q34:S34"/>
    <mergeCell ref="T34:V34"/>
    <mergeCell ref="AU26:AU29"/>
    <mergeCell ref="AV26:AV29"/>
    <mergeCell ref="AW26:AW29"/>
    <mergeCell ref="AX26:AX29"/>
    <mergeCell ref="T27:V27"/>
    <mergeCell ref="T28:V28"/>
    <mergeCell ref="T29:V29"/>
    <mergeCell ref="T30:V30"/>
    <mergeCell ref="Y2:Z3"/>
    <mergeCell ref="Y11:AD13"/>
    <mergeCell ref="AJ3:AY4"/>
    <mergeCell ref="D14:O16"/>
    <mergeCell ref="S15:V15"/>
    <mergeCell ref="S16:V16"/>
    <mergeCell ref="AV8:AV11"/>
    <mergeCell ref="AW8:AW11"/>
    <mergeCell ref="AX8:AX11"/>
    <mergeCell ref="AY8:AY11"/>
    <mergeCell ref="Y9:AD10"/>
    <mergeCell ref="AF9:AG9"/>
    <mergeCell ref="AF10:AG10"/>
    <mergeCell ref="AZ8:AZ11"/>
    <mergeCell ref="D11:V12"/>
    <mergeCell ref="D6:E6"/>
    <mergeCell ref="N6:O6"/>
    <mergeCell ref="F6:L6"/>
    <mergeCell ref="BA8:BA11"/>
    <mergeCell ref="AP8:AP11"/>
    <mergeCell ref="AQ8:AQ11"/>
    <mergeCell ref="AR8:AR11"/>
    <mergeCell ref="AS8:AS11"/>
    <mergeCell ref="AT8:AT11"/>
    <mergeCell ref="AU8:AU11"/>
    <mergeCell ref="BA35:BA38"/>
    <mergeCell ref="AU35:AU38"/>
    <mergeCell ref="AV35:AV38"/>
    <mergeCell ref="BA17:BA20"/>
    <mergeCell ref="Y23:AA23"/>
    <mergeCell ref="AB23:AD23"/>
    <mergeCell ref="G24:I24"/>
    <mergeCell ref="J24:L24"/>
    <mergeCell ref="Q24:S24"/>
    <mergeCell ref="T24:V24"/>
    <mergeCell ref="AU17:AU20"/>
    <mergeCell ref="AV17:AV20"/>
    <mergeCell ref="AW17:AW20"/>
    <mergeCell ref="AX17:AX20"/>
    <mergeCell ref="AY17:AY20"/>
    <mergeCell ref="AZ17:AZ20"/>
    <mergeCell ref="AO17:AO20"/>
    <mergeCell ref="AP17:AP20"/>
    <mergeCell ref="AQ17:AQ20"/>
    <mergeCell ref="AR17:AR20"/>
    <mergeCell ref="AS17:AS20"/>
    <mergeCell ref="AT17:AT20"/>
    <mergeCell ref="BA26:BA29"/>
    <mergeCell ref="Y33:AA33"/>
    <mergeCell ref="BC2:BG4"/>
    <mergeCell ref="Y81:Z82"/>
    <mergeCell ref="AA88:AE88"/>
    <mergeCell ref="P6:V6"/>
    <mergeCell ref="AA6:AE6"/>
    <mergeCell ref="AK8:AK11"/>
    <mergeCell ref="AL8:AL11"/>
    <mergeCell ref="AM8:AM11"/>
    <mergeCell ref="AN8:AN11"/>
    <mergeCell ref="AO8:AO11"/>
    <mergeCell ref="AH17:AH20"/>
    <mergeCell ref="AI17:AI20"/>
    <mergeCell ref="AK17:AK20"/>
    <mergeCell ref="AL17:AL20"/>
    <mergeCell ref="AM17:AM20"/>
    <mergeCell ref="AN17:AN20"/>
    <mergeCell ref="Y17:AD17"/>
    <mergeCell ref="AI26:AI29"/>
    <mergeCell ref="AK26:AK29"/>
    <mergeCell ref="AL26:AL29"/>
    <mergeCell ref="AM26:AM29"/>
    <mergeCell ref="AN26:AN29"/>
    <mergeCell ref="AK35:AK38"/>
    <mergeCell ref="AL35:AL38"/>
  </mergeCells>
  <conditionalFormatting sqref="D3 V3 D9 D19 D72 V72">
    <cfRule type="expression" dxfId="72" priority="1">
      <formula>$A$1="A255255255"</formula>
    </cfRule>
    <cfRule type="expression" dxfId="71" priority="2">
      <formula>$A$1="A000000000"</formula>
    </cfRule>
  </conditionalFormatting>
  <conditionalFormatting sqref="D21">
    <cfRule type="expression" dxfId="70" priority="3">
      <formula>$AD$21=1</formula>
    </cfRule>
  </conditionalFormatting>
  <conditionalFormatting sqref="D6:L6">
    <cfRule type="expression" dxfId="69" priority="4">
      <formula>$AA$7="LANG"</formula>
    </cfRule>
    <cfRule type="expression" dxfId="68" priority="5">
      <formula>$AA$7="LEEG"</formula>
    </cfRule>
    <cfRule type="expression" dxfId="67" priority="6">
      <formula>$AA$7="GOED"</formula>
    </cfRule>
  </conditionalFormatting>
  <conditionalFormatting sqref="J25:L30 J35:L40 J45:L50 J55:L60">
    <cfRule type="expression" dxfId="66" priority="11">
      <formula>$Y25="ONGELDIG"</formula>
    </cfRule>
    <cfRule type="expression" dxfId="65" priority="12">
      <formula>$Y25="LEEG"</formula>
    </cfRule>
    <cfRule type="expression" dxfId="64" priority="13">
      <formula>$Y25="GOED"</formula>
    </cfRule>
  </conditionalFormatting>
  <conditionalFormatting sqref="N6:V6">
    <cfRule type="expression" dxfId="63" priority="7">
      <formula>$AA$89="FOUT"</formula>
    </cfRule>
    <cfRule type="expression" dxfId="62" priority="8">
      <formula>$AA$89="LEEG"</formula>
    </cfRule>
    <cfRule type="expression" dxfId="61" priority="9">
      <formula>$AA$89="OPTIE"</formula>
    </cfRule>
    <cfRule type="expression" dxfId="60" priority="10">
      <formula>$AA$89="GOED"</formula>
    </cfRule>
  </conditionalFormatting>
  <conditionalFormatting sqref="T25:V30 T35:V40 T45:V50 T55:V60">
    <cfRule type="expression" dxfId="59" priority="30">
      <formula>$AB25="ONGELDIG"</formula>
    </cfRule>
    <cfRule type="expression" dxfId="58" priority="31">
      <formula>$AB25="LEEG"</formula>
    </cfRule>
    <cfRule type="expression" dxfId="57" priority="32">
      <formula>$AB25="GOED"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10" zoomScaleNormal="100" workbookViewId="0"/>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9" hidden="1" customWidth="1"/>
    <col min="27" max="27" width="4.7109375" style="49" hidden="1" customWidth="1"/>
    <col min="28" max="29" width="20.7109375" style="49" hidden="1" customWidth="1"/>
    <col min="30" max="30" width="2.7109375" style="44" hidden="1" customWidth="1"/>
    <col min="31" max="31" width="14.7109375" style="49" hidden="1" customWidth="1"/>
    <col min="32" max="34" width="3.7109375" style="49" hidden="1" customWidth="1"/>
    <col min="35" max="35" width="18.7109375" style="201" hidden="1" customWidth="1"/>
    <col min="36" max="36" width="18.7109375" style="49" hidden="1" customWidth="1"/>
    <col min="37" max="37" width="4.7109375" style="44" customWidth="1"/>
    <col min="38" max="39" width="4.7109375" style="156" customWidth="1"/>
    <col min="40" max="40" width="18.7109375" style="156" customWidth="1"/>
    <col min="41" max="43" width="4.7109375" style="156" customWidth="1"/>
    <col min="44" max="16384" width="9.140625" style="44"/>
  </cols>
  <sheetData>
    <row r="1" spans="1:43" ht="15" customHeight="1" x14ac:dyDescent="0.25">
      <c r="A1" s="94" t="str">
        <f>Voorblad!A1</f>
        <v>A255255255</v>
      </c>
      <c r="B1" s="94" t="str">
        <f>Voorblad!B1</f>
        <v>B000080160</v>
      </c>
      <c r="C1" s="94" t="str">
        <f>Voorblad!C1</f>
        <v>C150200250</v>
      </c>
      <c r="D1" s="94" t="str">
        <f>Voorblad!D1</f>
        <v>D000080160</v>
      </c>
      <c r="E1" s="94" t="str">
        <f>Voorblad!E1</f>
        <v>E000080160</v>
      </c>
    </row>
    <row r="2" spans="1:43" ht="15" customHeight="1" x14ac:dyDescent="0.4">
      <c r="B2" s="17"/>
      <c r="C2" s="17"/>
      <c r="D2" s="17"/>
      <c r="E2" s="17"/>
      <c r="F2" s="17"/>
      <c r="G2" s="17"/>
      <c r="H2" s="17"/>
      <c r="I2" s="17"/>
      <c r="J2" s="17"/>
      <c r="K2" s="17"/>
      <c r="L2" s="17"/>
      <c r="M2" s="17"/>
      <c r="N2" s="17"/>
      <c r="O2" s="17"/>
      <c r="P2" s="17"/>
      <c r="Q2" s="17"/>
      <c r="R2" s="17"/>
      <c r="S2" s="350"/>
      <c r="T2" s="350"/>
      <c r="U2" s="350"/>
      <c r="V2" s="350"/>
      <c r="W2" s="350"/>
      <c r="X2" s="350"/>
      <c r="Y2" s="350"/>
      <c r="Z2" s="350"/>
      <c r="AA2" s="1275" t="s">
        <v>277</v>
      </c>
      <c r="AB2" s="1275"/>
      <c r="AC2" s="1275"/>
      <c r="AD2" s="1276" t="s">
        <v>278</v>
      </c>
      <c r="AE2" s="1276"/>
      <c r="AF2" s="1276"/>
      <c r="AG2" s="1276"/>
      <c r="AH2" s="1276"/>
      <c r="AI2" s="1276"/>
      <c r="AJ2" s="1274" t="s">
        <v>279</v>
      </c>
      <c r="AL2" s="1144" t="str">
        <f ca="1">Taal01!$B$40</f>
        <v>Eindstand Groep</v>
      </c>
      <c r="AM2" s="1144"/>
      <c r="AN2" s="1144"/>
      <c r="AO2" s="1144"/>
      <c r="AP2" s="1144"/>
    </row>
    <row r="3" spans="1:43" ht="15" customHeight="1" x14ac:dyDescent="0.4">
      <c r="B3" s="17"/>
      <c r="C3" s="1075"/>
      <c r="D3" s="1089" t="str">
        <f ca="1">Taal04!B7&amp;" - "&amp;Taal04!B9</f>
        <v>Excel Deelname Formulier - Eindstand Groep</v>
      </c>
      <c r="E3" s="1077"/>
      <c r="F3" s="1077"/>
      <c r="G3" s="1077"/>
      <c r="H3" s="1077"/>
      <c r="I3" s="1077"/>
      <c r="J3" s="1077"/>
      <c r="K3" s="1077"/>
      <c r="L3" s="1077"/>
      <c r="M3" s="1077"/>
      <c r="N3" s="1077"/>
      <c r="O3" s="1077"/>
      <c r="P3" s="1085" t="str">
        <f ca="1">IF(Reglement!M3="","",Reglement!M3)</f>
        <v>EURO 2024: EK Polo-poule</v>
      </c>
      <c r="Q3" s="1079"/>
      <c r="R3" s="17"/>
      <c r="S3" s="349"/>
      <c r="T3" s="349" t="s">
        <v>303</v>
      </c>
      <c r="U3" s="350"/>
      <c r="V3" s="350"/>
      <c r="W3" s="350"/>
      <c r="X3" s="350"/>
      <c r="Y3" s="110">
        <f>Reglement!Q81</f>
        <v>1</v>
      </c>
      <c r="Z3" s="350"/>
      <c r="AA3" s="1275"/>
      <c r="AB3" s="1275"/>
      <c r="AC3" s="1275"/>
      <c r="AD3" s="1276"/>
      <c r="AE3" s="1276"/>
      <c r="AF3" s="1276"/>
      <c r="AG3" s="1276"/>
      <c r="AH3" s="1276"/>
      <c r="AI3" s="1276"/>
      <c r="AJ3" s="1274"/>
      <c r="AL3" s="1144"/>
      <c r="AM3" s="1144"/>
      <c r="AN3" s="1144"/>
      <c r="AO3" s="1144"/>
      <c r="AP3" s="1144"/>
    </row>
    <row r="4" spans="1:43" ht="15" customHeight="1" x14ac:dyDescent="0.25">
      <c r="B4" s="17"/>
      <c r="C4" s="17"/>
      <c r="D4" s="17"/>
      <c r="E4" s="17"/>
      <c r="F4" s="17"/>
      <c r="G4" s="17"/>
      <c r="H4" s="17"/>
      <c r="I4" s="17"/>
      <c r="J4" s="17"/>
      <c r="K4" s="17"/>
      <c r="L4" s="17"/>
      <c r="M4" s="17"/>
      <c r="N4" s="17"/>
      <c r="O4" s="17"/>
      <c r="P4" s="17"/>
      <c r="Q4" s="17"/>
      <c r="R4" s="17"/>
      <c r="S4" s="1301" t="s">
        <v>228</v>
      </c>
      <c r="T4" s="1301"/>
      <c r="U4" s="1301"/>
      <c r="V4" s="1301"/>
      <c r="W4" s="623"/>
      <c r="X4" s="90"/>
      <c r="Y4" s="90"/>
      <c r="Z4" s="90"/>
      <c r="AA4" s="266"/>
      <c r="AB4" s="266"/>
      <c r="AC4" s="266"/>
      <c r="AD4" s="143"/>
      <c r="AE4" s="143"/>
      <c r="AF4" s="143"/>
      <c r="AG4" s="143"/>
      <c r="AH4" s="143"/>
      <c r="AI4" s="143"/>
      <c r="AJ4" s="1274"/>
      <c r="AL4" s="1144"/>
      <c r="AM4" s="1144"/>
      <c r="AN4" s="1144"/>
      <c r="AO4" s="1144"/>
      <c r="AP4" s="1144"/>
    </row>
    <row r="5" spans="1:43" ht="15" customHeight="1" x14ac:dyDescent="0.25">
      <c r="B5" s="17"/>
      <c r="C5" s="1075"/>
      <c r="D5" s="1090" t="str">
        <f ca="1">Taal04!B53</f>
        <v>Eindstand Groep A t/m F</v>
      </c>
      <c r="E5" s="1077"/>
      <c r="F5" s="1077"/>
      <c r="G5" s="1077"/>
      <c r="H5" s="1077"/>
      <c r="I5" s="1077"/>
      <c r="J5" s="1077"/>
      <c r="K5" s="1077"/>
      <c r="L5" s="1077"/>
      <c r="M5" s="1077"/>
      <c r="N5" s="1077"/>
      <c r="O5" s="1077"/>
      <c r="P5" s="1077"/>
      <c r="Q5" s="1079"/>
      <c r="R5" s="17"/>
      <c r="S5" s="1301"/>
      <c r="T5" s="1301"/>
      <c r="U5" s="1301"/>
      <c r="V5" s="1301"/>
      <c r="W5" s="623"/>
      <c r="X5" s="912" t="s">
        <v>2488</v>
      </c>
      <c r="Y5" s="913" t="str">
        <f>IF(AND(Y18&lt;&gt;1,Y19="GOED"),LOOKUP(Y18,S16:S19,V16:V19),"")</f>
        <v/>
      </c>
      <c r="Z5" s="913" t="str">
        <f>IF(AND(Z18&lt;&gt;1,Z19="GOED"),LOOKUP(Z18,S21:S24,V21:V24),"")</f>
        <v/>
      </c>
      <c r="AA5" s="266" t="s">
        <v>101</v>
      </c>
      <c r="AB5" s="269"/>
      <c r="AC5" s="266"/>
      <c r="AD5" s="1279" t="s">
        <v>409</v>
      </c>
      <c r="AE5" s="1279"/>
      <c r="AF5" s="1279"/>
      <c r="AG5" s="1279"/>
      <c r="AH5" s="1279"/>
      <c r="AI5" s="1279"/>
      <c r="AJ5" s="1274"/>
    </row>
    <row r="6" spans="1:43" ht="15" customHeight="1" x14ac:dyDescent="0.25">
      <c r="B6" s="17"/>
      <c r="C6" s="1047"/>
      <c r="D6" s="16"/>
      <c r="E6" s="16"/>
      <c r="F6" s="16"/>
      <c r="G6" s="16"/>
      <c r="H6" s="16"/>
      <c r="I6" s="16"/>
      <c r="J6" s="16"/>
      <c r="K6" s="16"/>
      <c r="L6" s="16"/>
      <c r="M6" s="16"/>
      <c r="N6" s="16"/>
      <c r="O6" s="16"/>
      <c r="P6" s="16"/>
      <c r="Q6" s="1048"/>
      <c r="R6" s="17"/>
      <c r="S6" s="1301"/>
      <c r="T6" s="1301"/>
      <c r="U6" s="1301"/>
      <c r="V6" s="1301"/>
      <c r="W6" s="623"/>
      <c r="X6" s="912" t="str">
        <f>"wedstrijd "&amp;RIGHT(X5,2)*1-1</f>
        <v>wedstrijd 37</v>
      </c>
      <c r="Y6" s="913" t="str">
        <f>IF(AND(Y16&lt;&gt;1,Y17="GOED"),LOOKUP(Y16,S16:S19,V16:V19),"")</f>
        <v/>
      </c>
      <c r="Z6" s="913" t="str">
        <f>IF(AND(Y28&lt;&gt;1,Y29="GOED"),LOOKUP(Y28,S26:S29,V26:V29),"")</f>
        <v/>
      </c>
      <c r="AA6" s="266" t="s">
        <v>1957</v>
      </c>
      <c r="AB6" s="269" t="s">
        <v>275</v>
      </c>
      <c r="AC6" s="266"/>
      <c r="AD6" s="143"/>
      <c r="AE6" s="143" t="s">
        <v>9</v>
      </c>
      <c r="AF6" s="143" t="str">
        <f>IF($AC$7=1,IF(COUNTIF(#REF!,"GOED")=12,"JA","NEE"),IF($AC$11=1,IF(COUNTIF(Groepswedstrijden!$Y$25:$Y$30,"GOED")=6,"JA","NEE"),"n.v.t."))</f>
        <v>NEE</v>
      </c>
      <c r="AG6" s="143"/>
      <c r="AH6" s="143" t="str">
        <f>IF($AC$7=1,IF(COUNTIF(#REF!,"GOED")=12,"JA","NEE"),IF($AC$11=1,IF(COUNTIF(Groepswedstrijden!$AB$25:$AB$30,"GOED")=6,"JA","NEE"),"n.v.t."))</f>
        <v>NEE</v>
      </c>
      <c r="AI6" s="143" t="s">
        <v>14</v>
      </c>
      <c r="AJ6" s="347"/>
    </row>
    <row r="7" spans="1:43" ht="15" customHeight="1" x14ac:dyDescent="0.25">
      <c r="B7" s="17"/>
      <c r="C7" s="1049"/>
      <c r="D7" s="351" t="str">
        <f ca="1">IF($Y$3=1,Taal04!B54,Voorblad!C15)</f>
        <v>Voorspel de eindstand van de verschillende groepen en vul deze in op dit blad.</v>
      </c>
      <c r="E7" s="17"/>
      <c r="F7" s="17"/>
      <c r="G7" s="17"/>
      <c r="H7" s="17"/>
      <c r="I7" s="17"/>
      <c r="J7" s="17"/>
      <c r="K7" s="17"/>
      <c r="L7" s="17"/>
      <c r="M7" s="17"/>
      <c r="N7" s="17"/>
      <c r="O7" s="17"/>
      <c r="P7" s="17"/>
      <c r="Q7" s="61"/>
      <c r="R7" s="17"/>
      <c r="S7" s="1301"/>
      <c r="T7" s="1301"/>
      <c r="U7" s="1301"/>
      <c r="V7" s="1301"/>
      <c r="W7" s="623"/>
      <c r="X7" s="912" t="str">
        <f>"wedstrijd "&amp;RIGHT(X6,2)*1+3</f>
        <v>wedstrijd 40</v>
      </c>
      <c r="Y7" s="913" t="str">
        <f>IF(AND(Y26&lt;&gt;1,Y27="GOED"),LOOKUP(Y26,S26:S29,V26:V29),"")</f>
        <v/>
      </c>
      <c r="Z7" s="913" t="str">
        <f>IF(AND(Z30&lt;&gt;1,Z31="GOED"),LOOKUP(Z30,S31:S34,V31:V34),"")&amp;IF(AND(Y40&lt;&gt;1,Y41="GOED"),LOOKUP(Y40,S36:S39,V36:V39),"")&amp;IF(AND(Z40&lt;&gt;1,Z41="GOED"),LOOKUP(Z40,S41:S44,V41:V44),"")</f>
        <v/>
      </c>
      <c r="AA7" s="266" t="s">
        <v>1958</v>
      </c>
      <c r="AB7" s="268" t="e">
        <f>#REF!</f>
        <v>#REF!</v>
      </c>
      <c r="AC7" s="266">
        <f>IF(TYPE(AB7)=2,1,0)</f>
        <v>0</v>
      </c>
      <c r="AD7" s="143"/>
      <c r="AE7" s="143" t="s">
        <v>22</v>
      </c>
      <c r="AF7" s="143" t="str">
        <f>IF($AC$7=1,IF(COUNTIF(#REF!,"GOED")=12,"JA","NEE"),IF($AC$11=1,IF(COUNTIF(Groepswedstrijden!$Y$35:$Y$40,"GOED")=6,"JA","NEE"),"n.v.t."))</f>
        <v>NEE</v>
      </c>
      <c r="AG7" s="143"/>
      <c r="AH7" s="143" t="str">
        <f>IF($AC$7=1,IF(COUNTIF(#REF!,"GOED")=12,"JA","NEE"),IF($AC$11=1,IF(COUNTIF(Groepswedstrijden!$AB$35:$AB$40,"GOED")=6,"JA","NEE"),"n.v.t."))</f>
        <v>NEE</v>
      </c>
      <c r="AI7" s="143" t="s">
        <v>23</v>
      </c>
      <c r="AJ7" s="347"/>
    </row>
    <row r="8" spans="1:43" ht="15" customHeight="1" x14ac:dyDescent="0.25">
      <c r="B8" s="17"/>
      <c r="C8" s="1049"/>
      <c r="D8" s="17"/>
      <c r="E8" s="17"/>
      <c r="F8" s="17"/>
      <c r="G8" s="17"/>
      <c r="H8" s="17"/>
      <c r="I8" s="17"/>
      <c r="J8" s="17"/>
      <c r="K8" s="17"/>
      <c r="L8" s="17"/>
      <c r="M8" s="17"/>
      <c r="N8" s="17"/>
      <c r="O8" s="17"/>
      <c r="P8" s="17"/>
      <c r="Q8" s="61"/>
      <c r="R8" s="17"/>
      <c r="S8" s="1301"/>
      <c r="T8" s="1301"/>
      <c r="U8" s="1301"/>
      <c r="V8" s="1301"/>
      <c r="W8" s="623"/>
      <c r="X8" s="912" t="str">
        <f>"wedstrijd "&amp;RIGHT(X7,2)*1-1</f>
        <v>wedstrijd 39</v>
      </c>
      <c r="Y8" s="913" t="str">
        <f>IF(AND(Z16&lt;&gt;1,Z17="GOED"),LOOKUP(Z16,S21:S24,V21:V24),"")</f>
        <v/>
      </c>
      <c r="Z8" s="913" t="str">
        <f>IF(AND(Y20&lt;&gt;1,Y21="GOED"),LOOKUP(Y20,S16:S19,V16:V19),"")&amp;IF(AND(Z30&lt;&gt;1,Z31="GOED"),LOOKUP(Z30,S31:S34,V31:V34),"")&amp;IF(AND(Y40&lt;&gt;1,Y41="GOED"),LOOKUP(Y40,S36:S39,V36:V39),"")&amp;IF(AND(Z40&lt;&gt;1,Z41="GOED"),LOOKUP(Z40,S41:S44,V41:V44),"")</f>
        <v/>
      </c>
      <c r="AA8" s="266" t="s">
        <v>1959</v>
      </c>
      <c r="AB8" s="266"/>
      <c r="AC8" s="266"/>
      <c r="AD8" s="143"/>
      <c r="AE8" s="143" t="s">
        <v>106</v>
      </c>
      <c r="AF8" s="143" t="str">
        <f>IF($AC$7=1,IF(COUNTIF(#REF!,"GOED")=12,"JA","NEE"),IF($AC$11=1,IF(COUNTIF(Groepswedstrijden!$Y$45:$Y$50,"GOED")=6,"JA","NEE"),"n.v.t."))</f>
        <v>NEE</v>
      </c>
      <c r="AG8" s="143"/>
      <c r="AH8" s="143" t="str">
        <f>IF($AC$7=1,IF(COUNTIF(#REF!,"GOED")=12,"JA","NEE"),IF($AC$11=1,IF(COUNTIF(Groepswedstrijden!$AB$45:$AB$50,"GOED")=6,"JA","NEE"),"n.v.t."))</f>
        <v>NEE</v>
      </c>
      <c r="AI8" s="143" t="s">
        <v>107</v>
      </c>
      <c r="AJ8" s="207"/>
    </row>
    <row r="9" spans="1:43" ht="15" customHeight="1" x14ac:dyDescent="0.25">
      <c r="B9" s="39"/>
      <c r="C9" s="1054"/>
      <c r="D9" s="1262" t="s">
        <v>180</v>
      </c>
      <c r="E9" s="1263"/>
      <c r="F9" s="778" t="s">
        <v>908</v>
      </c>
      <c r="G9" s="1264" t="str">
        <f ca="1">Taal04!B57</f>
        <v>Om u op weg te helpen kan op basis van voorgaande voorspellingen, mits volledig ingevuld, u een suggestie gegeven worden. U bent niet verplicht deze suggestie op te volgen.</v>
      </c>
      <c r="H9" s="1264"/>
      <c r="I9" s="1264"/>
      <c r="J9" s="1264"/>
      <c r="K9" s="1264"/>
      <c r="L9" s="1264"/>
      <c r="M9" s="1264"/>
      <c r="N9" s="1264"/>
      <c r="O9" s="1264"/>
      <c r="P9" s="622"/>
      <c r="Q9" s="61"/>
      <c r="R9" s="39"/>
      <c r="S9" s="155">
        <v>1</v>
      </c>
      <c r="T9" s="76" t="str">
        <f ca="1">Taal04!B34</f>
        <v>suggesties altijd weergeven</v>
      </c>
      <c r="U9" s="76"/>
      <c r="V9" s="76"/>
      <c r="W9" s="76"/>
      <c r="X9" s="912" t="str">
        <f>"wedstrijd "&amp;RIGHT(X8,2)*1+3</f>
        <v>wedstrijd 42</v>
      </c>
      <c r="Y9" s="913" t="str">
        <f>IF(AND(Z28&lt;&gt;1,Z29="GOED"),LOOKUP(Z28,S31:S34,V31:V34),"")</f>
        <v/>
      </c>
      <c r="Z9" s="913" t="str">
        <f>IF(AND(Y38&lt;&gt;1,Y39="GOED"),LOOKUP(Y38,S36:S39,V36:V39),"")</f>
        <v/>
      </c>
      <c r="AA9" s="266" t="s">
        <v>1960</v>
      </c>
      <c r="AB9" s="266"/>
      <c r="AC9" s="266"/>
      <c r="AD9" s="143"/>
      <c r="AE9" s="515" t="s">
        <v>108</v>
      </c>
      <c r="AF9" s="515" t="str">
        <f>IF($AC$7=1,IF(COUNTIF(#REF!,"GOED")=12,"JA","NEE"),IF($AC$11=1,IF(COUNTIF(Groepswedstrijden!$Y$55:$Y$60,"GOED")=6,"JA","NEE"),"n.v.t."))</f>
        <v>NEE</v>
      </c>
      <c r="AG9" s="515"/>
      <c r="AH9" s="515" t="str">
        <f ca="1">IF($AC$7=1,IF(COUNTIF(#REF!,"GOED")=12,"JA","NEE"),IF($AC$11=1,IF(COUNTIF(Groepswedstrijden!$AB$53:$AB$60,"GOED")=6,"JA","NEE"),"n.v.t."))</f>
        <v>NEE</v>
      </c>
      <c r="AI9" s="515" t="s">
        <v>109</v>
      </c>
      <c r="AJ9" s="207"/>
      <c r="AL9" s="1280" t="str">
        <f ca="1">UPPER(Taal04!B58)</f>
        <v>EINDSTAND IN DE GROEP OP BASIS VAN EERDERE VOORSPELLINGEN</v>
      </c>
      <c r="AM9" s="1281"/>
      <c r="AN9" s="1282"/>
      <c r="AO9" s="1266" t="str">
        <f ca="1">Taal04!$B$59</f>
        <v>Punten</v>
      </c>
      <c r="AP9" s="1266" t="str">
        <f ca="1">Taal04!$B$60</f>
        <v>Doelpunten voor</v>
      </c>
      <c r="AQ9" s="1266" t="str">
        <f ca="1">Taal04!$B$61</f>
        <v>Doelpunten tegen</v>
      </c>
    </row>
    <row r="10" spans="1:43" ht="15" customHeight="1" x14ac:dyDescent="0.25">
      <c r="B10" s="39"/>
      <c r="C10" s="1054"/>
      <c r="D10" s="17"/>
      <c r="E10" s="17"/>
      <c r="F10" s="17"/>
      <c r="G10" s="1264"/>
      <c r="H10" s="1264"/>
      <c r="I10" s="1264"/>
      <c r="J10" s="1264"/>
      <c r="K10" s="1264"/>
      <c r="L10" s="1264"/>
      <c r="M10" s="1264"/>
      <c r="N10" s="1264"/>
      <c r="O10" s="1264"/>
      <c r="P10" s="622"/>
      <c r="Q10" s="61"/>
      <c r="R10" s="39"/>
      <c r="S10" s="155">
        <v>2</v>
      </c>
      <c r="T10" s="76" t="str">
        <f ca="1">Taal04!B35</f>
        <v>suggesties verbergen na keuze</v>
      </c>
      <c r="U10" s="76"/>
      <c r="V10" s="76"/>
      <c r="W10" s="76"/>
      <c r="X10" s="912" t="str">
        <f>"wedstrijd "&amp;RIGHT(X9,2)*1-1</f>
        <v>wedstrijd 41</v>
      </c>
      <c r="Y10" s="913" t="str">
        <f>IF(AND(Z36&lt;&gt;1,Z37="GOED"),LOOKUP(Z36,S41:S44,V41:V44),"")</f>
        <v/>
      </c>
      <c r="Z10" s="913" t="str">
        <f>IF(AND(Y20&lt;&gt;1,Y21="GOED"),LOOKUP(Y20,S16:S19,V16:V19),"")&amp;IF(AND(Z20&lt;&gt;1,Z21="GOED"),LOOKUP(Z20,S21:S24,V21:V24),"")&amp;IF(AND(Y30&lt;&gt;1,Y31="GOED"),LOOKUP(Y30,S26:S29,V26:V29),"")</f>
        <v/>
      </c>
      <c r="AA10" s="266" t="s">
        <v>1961</v>
      </c>
      <c r="AB10" s="269" t="s">
        <v>276</v>
      </c>
      <c r="AC10" s="266"/>
      <c r="AD10" s="143"/>
      <c r="AE10" s="143"/>
      <c r="AF10" s="143"/>
      <c r="AG10" s="143"/>
      <c r="AH10" s="143"/>
      <c r="AI10" s="143"/>
      <c r="AJ10" s="207"/>
      <c r="AL10" s="1283"/>
      <c r="AM10" s="1284"/>
      <c r="AN10" s="1285"/>
      <c r="AO10" s="1267"/>
      <c r="AP10" s="1267"/>
      <c r="AQ10" s="1267"/>
    </row>
    <row r="11" spans="1:43" ht="15" customHeight="1" x14ac:dyDescent="0.25">
      <c r="B11" s="39"/>
      <c r="C11" s="1054"/>
      <c r="D11" s="17"/>
      <c r="E11" s="17"/>
      <c r="F11" s="17"/>
      <c r="G11" s="1264"/>
      <c r="H11" s="1264"/>
      <c r="I11" s="1264"/>
      <c r="J11" s="1264"/>
      <c r="K11" s="1264"/>
      <c r="L11" s="1264"/>
      <c r="M11" s="1264"/>
      <c r="N11" s="1264"/>
      <c r="O11" s="1264"/>
      <c r="P11" s="622"/>
      <c r="Q11" s="61"/>
      <c r="R11" s="39"/>
      <c r="S11" s="155">
        <v>3</v>
      </c>
      <c r="T11" s="76" t="str">
        <f ca="1">Taal04!B36</f>
        <v>suggesties niet weergeven</v>
      </c>
      <c r="U11" s="76"/>
      <c r="V11" s="76"/>
      <c r="W11" s="76"/>
      <c r="X11" s="912" t="str">
        <f>"wedstrijd "&amp;RIGHT(X10,2)*1+2</f>
        <v>wedstrijd 43</v>
      </c>
      <c r="Y11" s="913" t="str">
        <f>IF(AND(Y36&lt;&gt;1,Y37="GOED"),LOOKUP(Y36,S36:S39,V36:V39),"")</f>
        <v/>
      </c>
      <c r="Z11" s="913" t="str">
        <f>IF(AND(Y20&lt;&gt;1,Y21="GOED"),LOOKUP(Y20,S16:S19,V16:V19),"")&amp;IF(AND(Z20&lt;&gt;1,Z21="GOED"),LOOKUP(Z20,S21:S24,V21:V24),"")&amp;IF(AND(Y30&lt;&gt;1,Y31="GOED"),LOOKUP(Y30,S26:S29,V26:V29),"")&amp;IF(AND(Z30&lt;&gt;1,Z31="GOED"),LOOKUP(Z30,S31:S34,V31:V34),"")</f>
        <v/>
      </c>
      <c r="AA11" s="266" t="s">
        <v>1962</v>
      </c>
      <c r="AB11" s="268" t="str">
        <f>Groepswedstrijden!V72</f>
        <v>©2024 Eric de Jong v24.00hd</v>
      </c>
      <c r="AC11" s="266">
        <f>IF(TYPE(AB11)=2,1,0)</f>
        <v>1</v>
      </c>
      <c r="AD11" s="1278" t="s">
        <v>71</v>
      </c>
      <c r="AE11" s="363"/>
      <c r="AF11" s="1278" t="s">
        <v>99</v>
      </c>
      <c r="AG11" s="1278" t="s">
        <v>229</v>
      </c>
      <c r="AH11" s="1278" t="s">
        <v>230</v>
      </c>
      <c r="AI11" s="1278" t="s">
        <v>232</v>
      </c>
      <c r="AJ11" s="1277" t="s">
        <v>233</v>
      </c>
      <c r="AL11" s="1283"/>
      <c r="AM11" s="1284"/>
      <c r="AN11" s="1285"/>
      <c r="AO11" s="1267"/>
      <c r="AP11" s="1267"/>
      <c r="AQ11" s="1267"/>
    </row>
    <row r="12" spans="1:43" ht="15" customHeight="1" x14ac:dyDescent="0.25">
      <c r="B12" s="39"/>
      <c r="C12" s="1054"/>
      <c r="D12" s="17"/>
      <c r="E12" s="17"/>
      <c r="F12" s="17"/>
      <c r="G12" s="622"/>
      <c r="H12" s="622"/>
      <c r="I12" s="622"/>
      <c r="J12" s="622"/>
      <c r="K12" s="622"/>
      <c r="L12" s="622"/>
      <c r="M12" s="622"/>
      <c r="N12" s="622"/>
      <c r="O12" s="622"/>
      <c r="P12" s="622"/>
      <c r="Q12" s="61"/>
      <c r="R12" s="39"/>
      <c r="S12" s="630">
        <f ca="1">IF(COUNTIF(Taal04!34:34,D9)&gt;0,1,IF(COUNTIF(Taal04!35:35,D9)&gt;0,2,3))</f>
        <v>1</v>
      </c>
      <c r="T12" s="76" t="s">
        <v>178</v>
      </c>
      <c r="U12" s="76"/>
      <c r="V12" s="76"/>
      <c r="W12" s="76"/>
      <c r="X12" s="912" t="str">
        <f>"wedstrijd "&amp;RIGHT(X11,2)*1+1</f>
        <v>wedstrijd 44</v>
      </c>
      <c r="Y12" s="913" t="str">
        <f>IF(AND(Z26&lt;&gt;1,Z27="GOED"),LOOKUP(Z26,S31:S34,V31:V34),"")</f>
        <v/>
      </c>
      <c r="Z12" s="913" t="str">
        <f>IF(AND(Z38&lt;&gt;1,Z39="GOED"),LOOKUP(Z38,S41:S44,V41:V44),"")</f>
        <v/>
      </c>
      <c r="AA12" s="266" t="s">
        <v>1963</v>
      </c>
      <c r="AB12" s="266"/>
      <c r="AC12" s="266"/>
      <c r="AD12" s="1278"/>
      <c r="AE12" s="363"/>
      <c r="AF12" s="1278"/>
      <c r="AG12" s="1278"/>
      <c r="AH12" s="1278"/>
      <c r="AI12" s="1278"/>
      <c r="AJ12" s="1277"/>
      <c r="AL12" s="1283"/>
      <c r="AM12" s="1284"/>
      <c r="AN12" s="1285"/>
      <c r="AO12" s="1267"/>
      <c r="AP12" s="1267"/>
      <c r="AQ12" s="1267"/>
    </row>
    <row r="13" spans="1:43" ht="15" customHeight="1" x14ac:dyDescent="0.25">
      <c r="B13" s="39"/>
      <c r="C13" s="1054"/>
      <c r="D13" s="1056" t="str">
        <f ca="1">Taal04!B55</f>
        <v>Elk land mag maar één keer ingevuld worden bij het voorspellen van de eindstand in de groep.</v>
      </c>
      <c r="E13" s="17"/>
      <c r="F13" s="17"/>
      <c r="G13" s="622"/>
      <c r="H13" s="622"/>
      <c r="I13" s="622"/>
      <c r="J13" s="622"/>
      <c r="K13" s="622"/>
      <c r="L13" s="622"/>
      <c r="M13" s="622"/>
      <c r="N13" s="622"/>
      <c r="O13" s="622"/>
      <c r="P13" s="622"/>
      <c r="Q13" s="61"/>
      <c r="R13" s="39"/>
      <c r="S13" s="90"/>
      <c r="T13" s="90"/>
      <c r="U13" s="90"/>
      <c r="V13" s="90"/>
      <c r="W13" s="90"/>
      <c r="X13" s="90"/>
      <c r="Y13" s="90"/>
      <c r="Z13" s="90"/>
      <c r="AA13" s="266"/>
      <c r="AB13" s="266"/>
      <c r="AC13" s="266"/>
      <c r="AD13" s="1278"/>
      <c r="AE13" s="363"/>
      <c r="AF13" s="1278"/>
      <c r="AG13" s="1278"/>
      <c r="AH13" s="1278"/>
      <c r="AI13" s="1278"/>
      <c r="AJ13" s="1277"/>
      <c r="AL13" s="1283"/>
      <c r="AM13" s="1284"/>
      <c r="AN13" s="1285"/>
      <c r="AO13" s="1267"/>
      <c r="AP13" s="1267"/>
      <c r="AQ13" s="1267"/>
    </row>
    <row r="14" spans="1:43" ht="15" customHeight="1" x14ac:dyDescent="0.25">
      <c r="B14" s="39"/>
      <c r="C14" s="1054"/>
      <c r="D14" s="1269" t="str">
        <f ca="1">Taal04!$B$26&amp;" A"</f>
        <v>Groep A</v>
      </c>
      <c r="E14" s="1269"/>
      <c r="F14" s="17"/>
      <c r="G14" s="754"/>
      <c r="H14" s="754"/>
      <c r="I14" s="754"/>
      <c r="J14" s="754"/>
      <c r="K14" s="1269" t="str">
        <f ca="1">Taal04!$B$26&amp;" B"</f>
        <v>Groep B</v>
      </c>
      <c r="L14" s="1269"/>
      <c r="M14" s="754"/>
      <c r="N14" s="754"/>
      <c r="O14" s="754"/>
      <c r="P14" s="754"/>
      <c r="Q14" s="61"/>
      <c r="R14" s="39"/>
      <c r="S14" s="144"/>
      <c r="T14" s="144"/>
      <c r="U14" s="144"/>
      <c r="V14" s="144"/>
      <c r="W14" s="144"/>
      <c r="X14" s="144"/>
      <c r="Y14" s="183"/>
      <c r="Z14" s="183"/>
      <c r="AA14" s="65"/>
      <c r="AB14" s="264" t="s">
        <v>274</v>
      </c>
      <c r="AC14" s="263" t="s">
        <v>234</v>
      </c>
      <c r="AD14" s="1278"/>
      <c r="AE14" s="363"/>
      <c r="AF14" s="1278"/>
      <c r="AG14" s="1278"/>
      <c r="AH14" s="1278"/>
      <c r="AI14" s="1278"/>
      <c r="AJ14" s="1277"/>
      <c r="AL14" s="1286"/>
      <c r="AM14" s="1287"/>
      <c r="AN14" s="1288"/>
      <c r="AO14" s="1268"/>
      <c r="AP14" s="1268"/>
      <c r="AQ14" s="1268"/>
    </row>
    <row r="15" spans="1:43" ht="15" customHeight="1" x14ac:dyDescent="0.25">
      <c r="B15" s="39"/>
      <c r="C15" s="1054"/>
      <c r="D15" s="1270"/>
      <c r="E15" s="1270"/>
      <c r="F15" s="17"/>
      <c r="G15" s="17"/>
      <c r="H15" s="17"/>
      <c r="I15" s="17"/>
      <c r="J15" s="17"/>
      <c r="K15" s="1270"/>
      <c r="L15" s="1270"/>
      <c r="M15" s="17"/>
      <c r="N15" s="17"/>
      <c r="O15" s="17"/>
      <c r="P15" s="17"/>
      <c r="Q15" s="61"/>
      <c r="R15" s="39"/>
      <c r="S15" s="112">
        <v>1</v>
      </c>
      <c r="T15" s="136"/>
      <c r="U15" s="138"/>
      <c r="V15" s="299" t="str">
        <f ca="1">RIGHT(D14,1)</f>
        <v>A</v>
      </c>
      <c r="W15" s="625"/>
      <c r="X15" s="185" t="str">
        <f ca="1">"Deelnamecode "&amp;V15&amp;"/"&amp;V20</f>
        <v>Deelnamecode A/B</v>
      </c>
      <c r="Y15" s="152" t="str">
        <f>IF(AND(TYPE(Y16)=1,TYPE(Y18)=1,TYPE(Y20)=1,TYPE(Y22)=1),IF(AND(Y17="GOED",Y19="GOED",Y21="GOED",Y23="GOED"),LOOKUP(Y16,S16:S19,U16:U19)&amp;"."&amp;LOOKUP(Y18,S16:S19,U16:U19)&amp;"."&amp;LOOKUP(Y20,S16:S19,U16:U19)&amp;"."&amp;LOOKUP(Y22,S16:S19,U16:U19)&amp;"|","FOUT"),"ONGELDIG")</f>
        <v>FOUT</v>
      </c>
      <c r="Z15" s="152" t="str">
        <f>IF(AND(TYPE(Z16)=1,TYPE(Z18)=1,TYPE(Z20)=1,TYPE(Z22)=1),IF(AND(Z17="GOED",Z19="GOED",Z21="GOED",Z23="GOED"),LOOKUP(Z16,S21:S24,U21:U24)&amp;"."&amp;LOOKUP(Z18,S21:S24,U21:U24)&amp;"."&amp;LOOKUP(Z20,S21:S24,U21:U24)&amp;"."&amp;LOOKUP(Z22,S21:S24,U21:U24)&amp;"|","FOUT"),"ONGELDIG")</f>
        <v>FOUT</v>
      </c>
      <c r="AA15" s="65"/>
      <c r="AB15" s="264" t="str">
        <f ca="1">UPPER(Taal04!$B$26)&amp;" "&amp;V15</f>
        <v>GROEP A</v>
      </c>
      <c r="AC15" s="263" t="str">
        <f ca="1">AB15</f>
        <v>GROEP A</v>
      </c>
      <c r="AD15" s="143"/>
      <c r="AE15" s="178" t="str">
        <f ca="1">AB15</f>
        <v>GROEP A</v>
      </c>
      <c r="AF15" s="143"/>
      <c r="AG15" s="143"/>
      <c r="AH15" s="143"/>
      <c r="AI15" s="202"/>
      <c r="AJ15" s="207"/>
      <c r="AM15" s="638"/>
    </row>
    <row r="16" spans="1:43" s="156" customFormat="1" ht="15" customHeight="1" x14ac:dyDescent="0.25">
      <c r="B16" s="17"/>
      <c r="C16" s="1049"/>
      <c r="D16" s="353" t="s">
        <v>213</v>
      </c>
      <c r="E16" s="900"/>
      <c r="F16" s="624" t="str">
        <f>IF(Y17="LEEG","▼","")</f>
        <v>▼</v>
      </c>
      <c r="G16" s="17"/>
      <c r="H16" s="780"/>
      <c r="I16" s="780"/>
      <c r="J16" s="17"/>
      <c r="K16" s="353" t="s">
        <v>213</v>
      </c>
      <c r="L16" s="901"/>
      <c r="M16" s="624" t="str">
        <f>IF(Z17="LEEG","▼","")</f>
        <v>▼</v>
      </c>
      <c r="N16" s="17"/>
      <c r="O16" s="780"/>
      <c r="P16" s="780"/>
      <c r="Q16" s="61"/>
      <c r="R16" s="17"/>
      <c r="S16" s="112">
        <f>S15+1</f>
        <v>2</v>
      </c>
      <c r="T16" s="86" t="str">
        <f ca="1">VLOOKUP(V16,Voorblad!$X$67:$Z$98,2,FALSE)</f>
        <v>Duitsland</v>
      </c>
      <c r="U16" s="10" t="str">
        <f ca="1">VLOOKUP(V16,Voorblad!$X$67:$Z$98,3,FALSE)</f>
        <v>DE</v>
      </c>
      <c r="V16" s="302" t="str">
        <f ca="1">V15&amp;1</f>
        <v>A1</v>
      </c>
      <c r="W16" s="626" t="str">
        <f>"|"&amp;Taal02!C7&amp;"|"&amp;Taal02!D7&amp;"|"&amp;Taal02!E7&amp;"|"&amp;Taal02!F7&amp;"|"&amp;Taal02!G7&amp;"|"&amp;Taal02!H7&amp;"|"&amp;Taal02!I7&amp;"|"&amp;Taal02!J7&amp;"|"</f>
        <v>|Duitsland|Germany|Deutschland|Tyskland|||||</v>
      </c>
      <c r="X16" s="185" t="s">
        <v>217</v>
      </c>
      <c r="Y16" s="144">
        <f>IF(ISBLANK(E16),1,IF(SUBSTITUTE(W16,E16,"#")&lt;&gt;W16,2,IF(SUBSTITUTE(W17,E16,"#")&lt;&gt;W17,3,IF(SUBSTITUTE(W18,E16,"#")&lt;&gt;W18,4,IF(SUBSTITUTE(W19,E16,"#")&lt;&gt;W19,5,6)))))</f>
        <v>1</v>
      </c>
      <c r="Z16" s="144">
        <f>IF(ISBLANK(L16),1,IF(SUBSTITUTE(W21,L16,"#")&lt;&gt;W21,2,IF(SUBSTITUTE(W22,L16,"#")&lt;&gt;W22,3,IF(SUBSTITUTE(W23,L16,"#")&lt;&gt;W23,4,IF(SUBSTITUTE(W24,L16,"#")&lt;&gt;W24,5,6)))))</f>
        <v>1</v>
      </c>
      <c r="AA16" s="263" t="str">
        <f ca="1">RIGHT(V16,1)</f>
        <v>1</v>
      </c>
      <c r="AB16" s="265" t="e">
        <f>#REF!</f>
        <v>#REF!</v>
      </c>
      <c r="AC16" s="65" t="str">
        <f>Groepswedstrijden!Z76</f>
        <v/>
      </c>
      <c r="AD16" s="143">
        <f ca="1">IF($AC$7=1,VLOOKUP($V16,#REF!,20,FALSE),IF($AC$11=1,VLOOKUP($V16,Groepswedstrijden!$AH$12:$BA$78,20,FALSE),""))</f>
        <v>4</v>
      </c>
      <c r="AE16" s="177" t="str">
        <f ca="1">IF($AC$7=1,VLOOKUP($V16,#REF!,3,FALSE),IF($AC$11=1,VLOOKUP($V16,Groepswedstrijden!$AH$12:$BA$78,3,FALSE),""))</f>
        <v>Duitsland</v>
      </c>
      <c r="AF16" s="143">
        <f ca="1">IF($AC$7=1,VLOOKUP($V16,#REF!,9,FALSE),IF($AC$11=1,VLOOKUP($V16,Groepswedstrijden!$AH$12:$BA$78,9,FALSE),""))</f>
        <v>0</v>
      </c>
      <c r="AG16" s="143">
        <f ca="1">IF($AC$7=1,VLOOKUP($V16,#REF!,10,FALSE),IF($AC$11=1,VLOOKUP($V16,Groepswedstrijden!$AH$12:$BA$78,10,FALSE),""))</f>
        <v>0</v>
      </c>
      <c r="AH16" s="143">
        <f ca="1">IF($AC$7=1,VLOOKUP($V16,#REF!,11,FALSE),IF($AC$11=1,VLOOKUP($V16,Groepswedstrijden!$AH$12:$BA$78,11,FALSE),""))</f>
        <v>0</v>
      </c>
      <c r="AI16" s="203">
        <f ca="1">IF($AC$7=1,VLOOKUP($V16,#REF!,19,FALSE),IF($AC$11=1,VLOOKUP($V16,Groepswedstrijden!$AH$12:$BA$78,19,FALSE),""))</f>
        <v>350000500001</v>
      </c>
      <c r="AJ16" s="208">
        <f ca="1">FLOOR(IF($AD16=1,AI16,IF($AD17=1,AI17,IF($AD18=1,AI18,AI19)))/10,1)</f>
        <v>35000050000</v>
      </c>
      <c r="AL16" s="1271" t="str">
        <f ca="1">AE15</f>
        <v>GROEP A</v>
      </c>
      <c r="AM16" s="354" t="s">
        <v>65</v>
      </c>
      <c r="AN16" s="355" t="str">
        <f ca="1">IF($AD16=1,AE16,IF($AD17=1,AE17,IF($AD18=1,AE18,AE19)))</f>
        <v>Zwitserland</v>
      </c>
      <c r="AO16" s="356">
        <f ca="1">IF($AD16=1,AF16,IF($AD17=1,AF17,IF($AD18=1,AF18,AF19)))</f>
        <v>0</v>
      </c>
      <c r="AP16" s="356">
        <f ca="1">IF($AD16=1,AG16,IF($AD17=1,AG17,IF($AD18=1,AG18,AG19)))</f>
        <v>0</v>
      </c>
      <c r="AQ16" s="356">
        <f ca="1">IF($AD16=1,AH16,IF($AD17=1,AH17,IF($AD18=1,AH18,AH19)))</f>
        <v>0</v>
      </c>
    </row>
    <row r="17" spans="2:43" s="156" customFormat="1" ht="20.100000000000001" customHeight="1" x14ac:dyDescent="0.25">
      <c r="B17" s="17"/>
      <c r="C17" s="1049"/>
      <c r="D17" s="1265" t="str">
        <f ca="1">IF($S$12=1,IF($AC$7=1,AB16,IF($AC$11=1,AC16,"")),IF(AND($S$12=2,OR($Y$17="LEEG",$Y$17="ONGELDIG")),IF($AC$7=1,AB16,IF($AC$11=1,AC16,"")),""))</f>
        <v/>
      </c>
      <c r="E17" s="1265"/>
      <c r="F17" s="1265"/>
      <c r="G17" s="1265"/>
      <c r="H17" s="1265"/>
      <c r="I17" s="1265"/>
      <c r="J17" s="17"/>
      <c r="K17" s="1265" t="str">
        <f ca="1">IF($S$12=1,IF($AC$7=1,AB21,IF($AC$11=1,AC21,"")),IF(AND($S$12=2,OR($Z$17="LEEG",$Z$17="ONGELDIG")),IF($AC$7=1,AB21,IF($AC$11=1,AC21,"")),""))</f>
        <v/>
      </c>
      <c r="L17" s="1265"/>
      <c r="M17" s="1265"/>
      <c r="N17" s="1265"/>
      <c r="O17" s="1265"/>
      <c r="P17" s="1265"/>
      <c r="Q17" s="61"/>
      <c r="R17" s="17"/>
      <c r="S17" s="112">
        <f>S16+1</f>
        <v>3</v>
      </c>
      <c r="T17" s="86" t="str">
        <f ca="1">VLOOKUP(V17,Voorblad!$X$67:$Z$98,2,FALSE)</f>
        <v>Schotland</v>
      </c>
      <c r="U17" s="10" t="str">
        <f ca="1">VLOOKUP(V17,Voorblad!$X$67:$Z$98,3,FALSE)</f>
        <v>SC</v>
      </c>
      <c r="V17" s="302" t="str">
        <f ca="1">V15&amp;2</f>
        <v>A2</v>
      </c>
      <c r="W17" s="626" t="str">
        <f>"|"&amp;Taal02!C8&amp;"|"&amp;Taal02!D8&amp;"|"&amp;Taal02!E8&amp;"|"&amp;Taal02!F8&amp;"|"&amp;Taal02!G8&amp;"|"&amp;Taal02!H8&amp;"|"&amp;Taal02!I8&amp;"|"&amp;Taal02!J8&amp;"|"</f>
        <v>|Schotland|Scotland|Schotland|Skottland|||||</v>
      </c>
      <c r="X17" s="185" t="s">
        <v>218</v>
      </c>
      <c r="Y17" s="144" t="str">
        <f>IF(Y16=1, "LEEG",IF(AND(Y16&gt;1,Y16&lt;6,TYPE(Y16+Y18+Y20+Y22)=1),IF(OR(Y16=Y18,Y16=Y20,Y16=Y22),"DUBBEL","GOED"),"ONGELDIG"))</f>
        <v>LEEG</v>
      </c>
      <c r="Z17" s="144" t="str">
        <f>IF(Z16=1, "LEEG",IF(AND(Z16&gt;1,Z16&lt;6,TYPE(Z16+Z18+Z20+Z22)=1),IF(OR(Z16=Z18,Z16=Z20,Z16=Z22),"DUBBEL","GOED"),"ONGELDIG"))</f>
        <v>LEEG</v>
      </c>
      <c r="AA17" s="263" t="str">
        <f ca="1">RIGHT(V17,1)</f>
        <v>2</v>
      </c>
      <c r="AB17" s="265" t="e">
        <f>#REF!</f>
        <v>#REF!</v>
      </c>
      <c r="AC17" s="65" t="str">
        <f>Groepswedstrijden!Z77</f>
        <v/>
      </c>
      <c r="AD17" s="143">
        <f ca="1">IF($AC$7=1,VLOOKUP($V17,#REF!,20,FALSE),IF($AC$11=1,VLOOKUP($V17,Groepswedstrijden!$AH$12:$BA$78,20,FALSE),""))</f>
        <v>2</v>
      </c>
      <c r="AE17" s="177" t="str">
        <f ca="1">IF($AC$7=1,VLOOKUP($V17,#REF!,3,FALSE),IF($AC$11=1,VLOOKUP($V17,Groepswedstrijden!$AH$12:$BA$78,3,FALSE),""))</f>
        <v>Schotland</v>
      </c>
      <c r="AF17" s="143">
        <f ca="1">IF($AC$7=1,VLOOKUP($V17,#REF!,9,FALSE),IF($AC$11=1,VLOOKUP($V17,Groepswedstrijden!$AH$12:$BA$78,9,FALSE),""))</f>
        <v>0</v>
      </c>
      <c r="AG17" s="143">
        <f ca="1">IF($AC$7=1,VLOOKUP($V17,#REF!,10,FALSE),IF($AC$11=1,VLOOKUP($V17,Groepswedstrijden!$AH$12:$BA$78,10,FALSE),""))</f>
        <v>0</v>
      </c>
      <c r="AH17" s="143">
        <f ca="1">IF($AC$7=1,VLOOKUP($V17,#REF!,11,FALSE),IF($AC$11=1,VLOOKUP($V17,Groepswedstrijden!$AH$12:$BA$78,11,FALSE),""))</f>
        <v>0</v>
      </c>
      <c r="AI17" s="203">
        <f ca="1">IF($AC$7=1,VLOOKUP($V17,#REF!,19,FALSE),IF($AC$11=1,VLOOKUP($V17,Groepswedstrijden!$AH$12:$BA$78,19,FALSE),""))</f>
        <v>350000500003</v>
      </c>
      <c r="AJ17" s="208">
        <f ca="1">FLOOR(IF($AD16=2,AI16,IF($AD17=2,AI17,IF($AD18=2,AI18,AI19)))/10,1)</f>
        <v>35000050000</v>
      </c>
      <c r="AL17" s="1272"/>
      <c r="AM17" s="357" t="str">
        <f ca="1">IF(AJ17=AJ16,"","2.")</f>
        <v/>
      </c>
      <c r="AN17" s="358" t="str">
        <f ca="1">IF($AD16=2,AE16,IF($AD17=2,AE17,IF($AD18=2,AE18,AE19)))</f>
        <v>Schotland</v>
      </c>
      <c r="AO17" s="359">
        <f ca="1">IF($AD16=2,AF16,IF($AD17=2,AF17,IF($AD18=2,AF18,AF19)))</f>
        <v>0</v>
      </c>
      <c r="AP17" s="359">
        <f ca="1">IF($AD16=2,AG16,IF($AD17=2,AG17,IF($AD18=2,AG18,AG19)))</f>
        <v>0</v>
      </c>
      <c r="AQ17" s="359">
        <f ca="1">IF($AD16=2,AH16,IF($AD17=2,AH17,IF($AD18=2,AH18,AH19)))</f>
        <v>0</v>
      </c>
    </row>
    <row r="18" spans="2:43" s="156" customFormat="1" ht="15" customHeight="1" x14ac:dyDescent="0.25">
      <c r="B18" s="17"/>
      <c r="C18" s="1049"/>
      <c r="D18" s="353" t="s">
        <v>214</v>
      </c>
      <c r="E18" s="900"/>
      <c r="F18" s="624" t="str">
        <f>IF(Y19="LEEG","▼","")</f>
        <v>▼</v>
      </c>
      <c r="G18" s="17"/>
      <c r="H18" s="17"/>
      <c r="I18" s="17"/>
      <c r="J18" s="17"/>
      <c r="K18" s="353" t="s">
        <v>214</v>
      </c>
      <c r="L18" s="901"/>
      <c r="M18" s="624" t="str">
        <f>IF(Z19="LEEG","▼","")</f>
        <v>▼</v>
      </c>
      <c r="N18" s="17"/>
      <c r="O18" s="17"/>
      <c r="P18" s="17"/>
      <c r="Q18" s="61"/>
      <c r="R18" s="17"/>
      <c r="S18" s="112">
        <f>S17+1</f>
        <v>4</v>
      </c>
      <c r="T18" s="86" t="str">
        <f ca="1">VLOOKUP(V18,Voorblad!$X$67:$Z$98,2,FALSE)</f>
        <v>Hongarije</v>
      </c>
      <c r="U18" s="10" t="str">
        <f ca="1">VLOOKUP(V18,Voorblad!$X$67:$Z$98,3,FALSE)</f>
        <v>HU</v>
      </c>
      <c r="V18" s="302" t="str">
        <f ca="1">V15&amp;3</f>
        <v>A3</v>
      </c>
      <c r="W18" s="626" t="str">
        <f>"|"&amp;Taal02!C9&amp;"|"&amp;Taal02!D9&amp;"|"&amp;Taal02!E9&amp;"|"&amp;Taal02!F9&amp;"|"&amp;Taal02!G9&amp;"|"&amp;Taal02!H9&amp;"|"&amp;Taal02!I9&amp;"|"&amp;Taal02!J9&amp;"|"</f>
        <v>|Hongarije|Hungary|Ungarn|Ungern|||||</v>
      </c>
      <c r="X18" s="185" t="s">
        <v>219</v>
      </c>
      <c r="Y18" s="144">
        <f>IF(ISBLANK(E18),1,IF(SUBSTITUTE(W16,E18,"#")&lt;&gt;W16,2,IF(SUBSTITUTE(W17,E18,"#")&lt;&gt;W17,3,IF(SUBSTITUTE(W18,E18,"#")&lt;&gt;W18,4,IF(SUBSTITUTE(W19,E18,"#")&lt;&gt;W19,5,6)))))</f>
        <v>1</v>
      </c>
      <c r="Z18" s="144">
        <f>IF(ISBLANK(L18),1,IF(SUBSTITUTE(W21,L18,"#")&lt;&gt;W21,2,IF(SUBSTITUTE(W22,L18,"#")&lt;&gt;W22,3,IF(SUBSTITUTE(W23,L18,"#")&lt;&gt;W23,4,IF(SUBSTITUTE(W24,L18,"#")&lt;&gt;W24,5,6)))))</f>
        <v>1</v>
      </c>
      <c r="AA18" s="263" t="str">
        <f ca="1">RIGHT(V18,1)</f>
        <v>3</v>
      </c>
      <c r="AB18" s="265" t="e">
        <f>#REF!</f>
        <v>#REF!</v>
      </c>
      <c r="AC18" s="65" t="str">
        <f>Groepswedstrijden!Z78</f>
        <v/>
      </c>
      <c r="AD18" s="143">
        <f ca="1">IF($AC$7=1,VLOOKUP($V18,#REF!,20,FALSE),IF($AC$11=1,VLOOKUP($V18,Groepswedstrijden!$AH$12:$BA$78,20,FALSE),""))</f>
        <v>3</v>
      </c>
      <c r="AE18" s="177" t="str">
        <f ca="1">IF($AC$7=1,VLOOKUP($V18,#REF!,3,FALSE),IF($AC$11=1,VLOOKUP($V18,Groepswedstrijden!$AH$12:$BA$78,3,FALSE),""))</f>
        <v>Hongarije</v>
      </c>
      <c r="AF18" s="143">
        <f ca="1">IF($AC$7=1,VLOOKUP($V18,#REF!,9,FALSE),IF($AC$11=1,VLOOKUP($V18,Groepswedstrijden!$AH$12:$BA$78,9,FALSE),""))</f>
        <v>0</v>
      </c>
      <c r="AG18" s="143">
        <f ca="1">IF($AC$7=1,VLOOKUP($V18,#REF!,10,FALSE),IF($AC$11=1,VLOOKUP($V18,Groepswedstrijden!$AH$12:$BA$78,10,FALSE),""))</f>
        <v>0</v>
      </c>
      <c r="AH18" s="143">
        <f ca="1">IF($AC$7=1,VLOOKUP($V18,#REF!,11,FALSE),IF($AC$11=1,VLOOKUP($V18,Groepswedstrijden!$AH$12:$BA$78,11,FALSE),""))</f>
        <v>0</v>
      </c>
      <c r="AI18" s="203">
        <f ca="1">IF($AC$7=1,VLOOKUP($V18,#REF!,19,FALSE),IF($AC$11=1,VLOOKUP($V18,Groepswedstrijden!$AH$12:$BA$78,19,FALSE),""))</f>
        <v>350000500002</v>
      </c>
      <c r="AJ18" s="208">
        <f ca="1">FLOOR(IF($AD16=3,AI16,IF($AD17=3,AI17,IF($AD18=3,AI18,AI19)))/10,1)</f>
        <v>35000050000</v>
      </c>
      <c r="AL18" s="1272"/>
      <c r="AM18" s="357" t="str">
        <f ca="1">IF(AJ18=AJ17,"","3.")</f>
        <v/>
      </c>
      <c r="AN18" s="358" t="str">
        <f ca="1">IF($AD16=3,AE16,IF($AD17=3,AE17,IF($AD18=3,AE18,AE19)))</f>
        <v>Hongarije</v>
      </c>
      <c r="AO18" s="359">
        <f ca="1">IF($AD16=3,AF16,IF($AD17=3,AF17,IF($AD18=3,AF18,AF19)))</f>
        <v>0</v>
      </c>
      <c r="AP18" s="359">
        <f ca="1">IF($AD16=3,AG16,IF($AD17=3,AG17,IF($AD18=3,AG18,AG19)))</f>
        <v>0</v>
      </c>
      <c r="AQ18" s="359">
        <f ca="1">IF($AD16=3,AH16,IF($AD17=3,AH17,IF($AD18=3,AH18,AH19)))</f>
        <v>0</v>
      </c>
    </row>
    <row r="19" spans="2:43" s="156" customFormat="1" ht="20.100000000000001" customHeight="1" x14ac:dyDescent="0.25">
      <c r="B19" s="17"/>
      <c r="C19" s="1049"/>
      <c r="D19" s="1265" t="str">
        <f ca="1">IF($S$12=1,IF($AC$7=1,AB17,IF($AC$11=1,AC17,"")),IF(AND($S$12=2,OR($Y$19="LEEG",$Y$19="ONGELDIG")),IF($AC$7=1,AB17,IF($AC$11=1,AC17,"")),""))</f>
        <v/>
      </c>
      <c r="E19" s="1265"/>
      <c r="F19" s="1265"/>
      <c r="G19" s="1265"/>
      <c r="H19" s="1265"/>
      <c r="I19" s="1265"/>
      <c r="J19" s="17"/>
      <c r="K19" s="1265" t="str">
        <f ca="1">IF($S$12=1,IF($AC$7=1,AB22,IF($AC$11=1,AC22,"")),IF(AND($S$12=2,OR($Z$19="LEEG",$Z$19="ONGELDIG")),IF($AC$7=1,AB22,IF($AC$11=1,AC22,"")),""))</f>
        <v/>
      </c>
      <c r="L19" s="1265"/>
      <c r="M19" s="1265"/>
      <c r="N19" s="1265"/>
      <c r="O19" s="1265"/>
      <c r="P19" s="1265"/>
      <c r="Q19" s="61"/>
      <c r="R19" s="17"/>
      <c r="S19" s="112">
        <f>S18+1</f>
        <v>5</v>
      </c>
      <c r="T19" s="137" t="str">
        <f ca="1">VLOOKUP(V19,Voorblad!$X$67:$Z$98,2,FALSE)</f>
        <v>Zwitserland</v>
      </c>
      <c r="U19" s="55" t="str">
        <f ca="1">VLOOKUP(V19,Voorblad!$X$67:$Z$98,3,FALSE)</f>
        <v>CH</v>
      </c>
      <c r="V19" s="305" t="str">
        <f ca="1">V15&amp;4</f>
        <v>A4</v>
      </c>
      <c r="W19" s="626" t="str">
        <f>"|"&amp;Taal02!C10&amp;"|"&amp;Taal02!D10&amp;"|"&amp;Taal02!E10&amp;"|"&amp;Taal02!F10&amp;"|"&amp;Taal02!G10&amp;"|"&amp;Taal02!H10&amp;"|"&amp;Taal02!I10&amp;"|"&amp;Taal02!J10&amp;"|"</f>
        <v>|Zwitserland|Switzerland|Schweiz|Schweiz|||||</v>
      </c>
      <c r="X19" s="185" t="s">
        <v>220</v>
      </c>
      <c r="Y19" s="144" t="str">
        <f>IF(Y18=1, "LEEG",IF(AND(Y18&gt;1,Y18&lt;6,TYPE(Y16+Y18+Y20+Y22)=1),IF(OR(Y18=Y16,Y18=Y20,Y18=Y22),"DUBBEL","GOED"),"ONGELDIG"))</f>
        <v>LEEG</v>
      </c>
      <c r="Z19" s="144" t="str">
        <f>IF(Z18=1, "LEEG",IF(AND(Z18&gt;1,Z18&lt;6,TYPE(Z16+Z18+Z20+Z22)=1),IF(OR(Z18=Z16,Z18=Z20,Z18=Z22),"DUBBEL","GOED"),"ONGELDIG"))</f>
        <v>LEEG</v>
      </c>
      <c r="AA19" s="263" t="str">
        <f ca="1">RIGHT(V19,1)</f>
        <v>4</v>
      </c>
      <c r="AB19" s="265" t="e">
        <f>#REF!</f>
        <v>#REF!</v>
      </c>
      <c r="AC19" s="65" t="str">
        <f>Groepswedstrijden!Z79</f>
        <v/>
      </c>
      <c r="AD19" s="143">
        <f ca="1">IF($AC$7=1,VLOOKUP($V19,#REF!,20,FALSE),IF($AC$11=1,VLOOKUP($V19,Groepswedstrijden!$AH$12:$BA$78,20,FALSE),""))</f>
        <v>1</v>
      </c>
      <c r="AE19" s="177" t="str">
        <f ca="1">IF($AC$7=1,VLOOKUP($V19,#REF!,3,FALSE),IF($AC$11=1,VLOOKUP($V19,Groepswedstrijden!$AH$12:$BA$78,3,FALSE),""))</f>
        <v>Zwitserland</v>
      </c>
      <c r="AF19" s="143">
        <f ca="1">IF($AC$7=1,VLOOKUP($V19,#REF!,9,FALSE),IF($AC$11=1,VLOOKUP($V19,Groepswedstrijden!$AH$12:$BA$78,9,FALSE),""))</f>
        <v>0</v>
      </c>
      <c r="AG19" s="143">
        <f ca="1">IF($AC$7=1,VLOOKUP($V19,#REF!,10,FALSE),IF($AC$11=1,VLOOKUP($V19,Groepswedstrijden!$AH$12:$BA$78,10,FALSE),""))</f>
        <v>0</v>
      </c>
      <c r="AH19" s="143">
        <f ca="1">IF($AC$7=1,VLOOKUP($V19,#REF!,11,FALSE),IF($AC$11=1,VLOOKUP($V19,Groepswedstrijden!$AH$12:$BA$78,11,FALSE),""))</f>
        <v>0</v>
      </c>
      <c r="AI19" s="203">
        <f ca="1">IF($AC$7=1,VLOOKUP($V19,#REF!,19,FALSE),IF($AC$11=1,VLOOKUP($V19,Groepswedstrijden!$AH$12:$BA$78,19,FALSE),""))</f>
        <v>350000500004</v>
      </c>
      <c r="AJ19" s="208">
        <f ca="1">FLOOR(IF($AD16=4,AI16,IF($AD17=4,AI17,IF($AD18=4,AI18,AI19)))/10,1)</f>
        <v>35000050000</v>
      </c>
      <c r="AL19" s="1273"/>
      <c r="AM19" s="360" t="str">
        <f ca="1">IF(AJ19=AJ18,"","4.")</f>
        <v/>
      </c>
      <c r="AN19" s="361" t="str">
        <f ca="1">IF($AD16=4,AE16,IF($AD17=4,AE17,IF($AD18=4,AE18,AE19)))</f>
        <v>Duitsland</v>
      </c>
      <c r="AO19" s="362">
        <f ca="1">IF($AD16=4,AF16,IF($AD17=4,AF17,IF($AD18=4,AF18,AF19)))</f>
        <v>0</v>
      </c>
      <c r="AP19" s="362">
        <f ca="1">IF($AD16=4,AG16,IF($AD17=4,AG17,IF($AD18=4,AG18,AG19)))</f>
        <v>0</v>
      </c>
      <c r="AQ19" s="362">
        <f ca="1">IF($AD16=4,AH16,IF($AD17=4,AH17,IF($AD18=4,AH18,AH19)))</f>
        <v>0</v>
      </c>
    </row>
    <row r="20" spans="2:43" ht="15" customHeight="1" x14ac:dyDescent="0.25">
      <c r="B20" s="17"/>
      <c r="C20" s="1049"/>
      <c r="D20" s="353" t="s">
        <v>215</v>
      </c>
      <c r="E20" s="900"/>
      <c r="F20" s="624" t="str">
        <f>IF(Y21="LEEG","▼","")</f>
        <v>▼</v>
      </c>
      <c r="G20" s="17"/>
      <c r="H20" s="17"/>
      <c r="I20" s="17"/>
      <c r="J20" s="17"/>
      <c r="K20" s="353" t="s">
        <v>215</v>
      </c>
      <c r="L20" s="901"/>
      <c r="M20" s="624" t="str">
        <f>IF(Z21="LEEG","▼","")</f>
        <v>▼</v>
      </c>
      <c r="N20" s="17"/>
      <c r="O20" s="17"/>
      <c r="P20" s="17"/>
      <c r="Q20" s="61"/>
      <c r="R20" s="17"/>
      <c r="S20" s="112">
        <v>1</v>
      </c>
      <c r="T20" s="136"/>
      <c r="U20" s="52"/>
      <c r="V20" s="299" t="str">
        <f ca="1">RIGHT(K14,1)</f>
        <v>B</v>
      </c>
      <c r="W20" s="625"/>
      <c r="X20" s="185" t="s">
        <v>221</v>
      </c>
      <c r="Y20" s="144">
        <f>IF(ISBLANK(E20),1,IF(SUBSTITUTE(W16,E20,"#")&lt;&gt;W16,2,IF(SUBSTITUTE(W17,E20,"#")&lt;&gt;W17,3,IF(SUBSTITUTE(W18,E20,"#")&lt;&gt;W18,4,IF(SUBSTITUTE(W19,E20,"#")&lt;&gt;W19,5,6)))))</f>
        <v>1</v>
      </c>
      <c r="Z20" s="144">
        <f>IF(ISBLANK(L20),1,IF(SUBSTITUTE(W21,L20,"#")&lt;&gt;W21,2,IF(SUBSTITUTE(W22,L20,"#")&lt;&gt;W22,3,IF(SUBSTITUTE(W23,L20,"#")&lt;&gt;W23,4,IF(SUBSTITUTE(W24,L20,"#")&lt;&gt;W24,5,6)))))</f>
        <v>1</v>
      </c>
      <c r="AA20" s="65"/>
      <c r="AB20" s="264" t="str">
        <f ca="1">UPPER(Taal04!$B$26)&amp;" "&amp;V20</f>
        <v>GROEP B</v>
      </c>
      <c r="AC20" s="263" t="str">
        <f ca="1">AB20</f>
        <v>GROEP B</v>
      </c>
      <c r="AD20" s="143"/>
      <c r="AE20" s="178" t="str">
        <f ca="1">AB20</f>
        <v>GROEP B</v>
      </c>
      <c r="AF20" s="143"/>
      <c r="AG20" s="143"/>
      <c r="AH20" s="143"/>
      <c r="AI20" s="203"/>
      <c r="AJ20" s="207"/>
      <c r="AL20" s="639" t="str">
        <f ca="1">IF(AF6="JA","","└ "&amp;SUBSTITUTE(Taal04!B62,"#",RIGHT(AL16,1)))</f>
        <v>└ LET OP: niet alle wedstrijden in groep A zijn ingevuld.</v>
      </c>
      <c r="AM20" s="638"/>
      <c r="AP20" s="640"/>
      <c r="AQ20" s="640"/>
    </row>
    <row r="21" spans="2:43" ht="20.100000000000001" customHeight="1" x14ac:dyDescent="0.25">
      <c r="B21" s="17"/>
      <c r="C21" s="1049"/>
      <c r="D21" s="1265" t="str">
        <f ca="1">IF($S$12=1,IF($AC$7=1,AB18,IF($AC$11=1,AC18,"")),IF(AND($S$12=2,OR($Y$21="LEEG",$Y$21="ONGELDIG")),IF($AC$7=1,AB18,IF($AC$11=1,AC18,"")),""))</f>
        <v/>
      </c>
      <c r="E21" s="1265"/>
      <c r="F21" s="1265"/>
      <c r="G21" s="1265"/>
      <c r="H21" s="1265"/>
      <c r="I21" s="1265"/>
      <c r="J21" s="17"/>
      <c r="K21" s="1265" t="str">
        <f ca="1">IF($S$12=1,IF($AC$7=1,AB23,IF($AC$11=1,AC23,"")),IF(AND($S$12=2,OR($Z$21="LEEG",$Z$21="ONGELDIG")),IF($AC$7=1,AB23,IF($AC$11=1,AC23,"")),""))</f>
        <v/>
      </c>
      <c r="L21" s="1265"/>
      <c r="M21" s="1265"/>
      <c r="N21" s="1265"/>
      <c r="O21" s="1265"/>
      <c r="P21" s="1265"/>
      <c r="Q21" s="61"/>
      <c r="R21" s="17"/>
      <c r="S21" s="112">
        <f>S20+1</f>
        <v>2</v>
      </c>
      <c r="T21" s="86" t="str">
        <f ca="1">VLOOKUP(V21,Voorblad!$X$67:$Z$98,2,FALSE)</f>
        <v>Spanje</v>
      </c>
      <c r="U21" s="10" t="str">
        <f ca="1">VLOOKUP(V21,Voorblad!$X$67:$Z$98,3,FALSE)</f>
        <v>ES</v>
      </c>
      <c r="V21" s="302" t="str">
        <f ca="1">V20&amp;1</f>
        <v>B1</v>
      </c>
      <c r="W21" s="626" t="str">
        <f>"|"&amp;Taal02!C12&amp;"|"&amp;Taal02!D12&amp;"|"&amp;Taal02!E12&amp;"|"&amp;Taal02!F12&amp;"|"&amp;Taal02!G12&amp;"|"&amp;Taal02!H12&amp;"|"&amp;Taal02!I12&amp;"|"&amp;Taal02!J12&amp;"|"</f>
        <v>|Spanje|Spain|Spanien|Spanien|||||</v>
      </c>
      <c r="X21" s="185" t="s">
        <v>222</v>
      </c>
      <c r="Y21" s="144" t="str">
        <f>IF(Y20=1, "LEEG",IF(AND(Y20&gt;1,Y20&lt;6,TYPE(Y16+Y18+Y20+Y22)=1),IF(OR(Y20=Y16,Y20=Y18,Y20=Y22),"DUBBEL","GOED"),"ONGELDIG"))</f>
        <v>LEEG</v>
      </c>
      <c r="Z21" s="144" t="str">
        <f>IF(Z20=1, "LEEG",IF(AND(Z20&gt;1,Z20&lt;6,TYPE(Z16+Z18+Z20+Z22)=1),IF(OR(Z20=Z16,Z20=Z18,Z20=Z22),"DUBBEL","GOED"),"ONGELDIG"))</f>
        <v>LEEG</v>
      </c>
      <c r="AA21" s="263" t="str">
        <f ca="1">RIGHT(V21,1)</f>
        <v>1</v>
      </c>
      <c r="AB21" s="265" t="e">
        <f>#REF!</f>
        <v>#REF!</v>
      </c>
      <c r="AC21" s="65" t="str">
        <f>Groepswedstrijden!AA76</f>
        <v/>
      </c>
      <c r="AD21" s="143">
        <f ca="1">IF($AC$7=1,VLOOKUP($V21,#REF!,20,FALSE),IF($AC$11=1,VLOOKUP($V21,Groepswedstrijden!$AH$12:$BA$78,20,FALSE),""))</f>
        <v>1</v>
      </c>
      <c r="AE21" s="177" t="str">
        <f ca="1">IF($AC$7=1,VLOOKUP($V21,#REF!,3,FALSE),IF($AC$11=1,VLOOKUP($V21,Groepswedstrijden!$AH$12:$BA$78,3,FALSE),""))</f>
        <v>Spanje</v>
      </c>
      <c r="AF21" s="143">
        <f ca="1">IF($AC$7=1,VLOOKUP($V21,#REF!,9,FALSE),IF($AC$11=1,VLOOKUP($V21,Groepswedstrijden!$AH$12:$BA$78,9,FALSE),""))</f>
        <v>0</v>
      </c>
      <c r="AG21" s="143">
        <f ca="1">IF($AC$7=1,VLOOKUP($V21,#REF!,10,FALSE),IF($AC$11=1,VLOOKUP($V21,Groepswedstrijden!$AH$12:$BA$78,10,FALSE),""))</f>
        <v>0</v>
      </c>
      <c r="AH21" s="143">
        <f ca="1">IF($AC$7=1,VLOOKUP($V21,#REF!,11,FALSE),IF($AC$11=1,VLOOKUP($V21,Groepswedstrijden!$AH$12:$BA$78,11,FALSE),""))</f>
        <v>0</v>
      </c>
      <c r="AI21" s="203">
        <f ca="1">IF($AC$7=1,VLOOKUP($V21,#REF!,19,FALSE),IF($AC$11=1,VLOOKUP($V21,Groepswedstrijden!$AH$12:$BA$78,19,FALSE),""))</f>
        <v>5000003500004</v>
      </c>
      <c r="AJ21" s="208">
        <f ca="1">FLOOR(IF($AD21=1,AI21,IF($AD22=1,AI22,IF($AD23=1,AI23,AI24)))/10,1)</f>
        <v>500000350000</v>
      </c>
      <c r="AL21" s="1271" t="str">
        <f ca="1">AE20</f>
        <v>GROEP B</v>
      </c>
      <c r="AM21" s="354" t="s">
        <v>65</v>
      </c>
      <c r="AN21" s="355" t="str">
        <f ca="1">IF($AD21=1,AE21,IF($AD22=1,AE22,IF($AD23=1,AE23,AE24)))</f>
        <v>Spanje</v>
      </c>
      <c r="AO21" s="356">
        <f ca="1">IF($AD21=1,AF21,IF($AD22=1,AF22,IF($AD23=1,AF23,AF24)))</f>
        <v>0</v>
      </c>
      <c r="AP21" s="356">
        <f ca="1">IF($AD21=1,AG21,IF($AD22=1,AG22,IF($AD23=1,AG23,AG24)))</f>
        <v>0</v>
      </c>
      <c r="AQ21" s="356">
        <f ca="1">IF($AD21=1,AH21,IF($AD22=1,AH22,IF($AD23=1,AH23,AH24)))</f>
        <v>0</v>
      </c>
    </row>
    <row r="22" spans="2:43" ht="15" customHeight="1" x14ac:dyDescent="0.25">
      <c r="B22" s="17"/>
      <c r="C22" s="1049"/>
      <c r="D22" s="353" t="s">
        <v>216</v>
      </c>
      <c r="E22" s="900"/>
      <c r="F22" s="624" t="str">
        <f>IF(Y23="LEEG","▼","")</f>
        <v>▼</v>
      </c>
      <c r="G22" s="17"/>
      <c r="H22" s="17"/>
      <c r="I22" s="17"/>
      <c r="J22" s="17"/>
      <c r="K22" s="353" t="s">
        <v>216</v>
      </c>
      <c r="L22" s="901"/>
      <c r="M22" s="624" t="str">
        <f>IF(Z23="LEEG","▼","")</f>
        <v>▼</v>
      </c>
      <c r="N22" s="17"/>
      <c r="O22" s="17"/>
      <c r="P22" s="17"/>
      <c r="Q22" s="61"/>
      <c r="R22" s="17"/>
      <c r="S22" s="112">
        <f>S21+1</f>
        <v>3</v>
      </c>
      <c r="T22" s="86" t="str">
        <f ca="1">VLOOKUP(V22,Voorblad!$X$67:$Z$98,2,FALSE)</f>
        <v>Kroatië</v>
      </c>
      <c r="U22" s="10" t="str">
        <f ca="1">VLOOKUP(V22,Voorblad!$X$67:$Z$98,3,FALSE)</f>
        <v>HR</v>
      </c>
      <c r="V22" s="302" t="str">
        <f ca="1">V20&amp;2</f>
        <v>B2</v>
      </c>
      <c r="W22" s="626" t="str">
        <f>"|"&amp;Taal02!C13&amp;"|"&amp;Taal02!D13&amp;"|"&amp;Taal02!E13&amp;"|"&amp;Taal02!F13&amp;"|"&amp;Taal02!G13&amp;"|"&amp;Taal02!H13&amp;"|"&amp;Taal02!I13&amp;"|"&amp;Taal02!J13&amp;"|"</f>
        <v>|Kroatië|Croatia|Kroatien|Kroatien|||||</v>
      </c>
      <c r="X22" s="185" t="s">
        <v>223</v>
      </c>
      <c r="Y22" s="144">
        <f>IF(ISBLANK(E22),1,IF(SUBSTITUTE(W16,E22,"#")&lt;&gt;W16,2,IF(SUBSTITUTE(W17,E22,"#")&lt;&gt;W17,3,IF(SUBSTITUTE(W18,E22,"#")&lt;&gt;W18,4,IF(SUBSTITUTE(W19,E22,"#")&lt;&gt;W19,5,6)))))</f>
        <v>1</v>
      </c>
      <c r="Z22" s="144">
        <f>IF(ISBLANK(L22),1,IF(SUBSTITUTE(W21,L22,"#")&lt;&gt;W21,2,IF(SUBSTITUTE(W22,L22,"#")&lt;&gt;W22,3,IF(SUBSTITUTE(W23,L22,"#")&lt;&gt;W23,4,IF(SUBSTITUTE(W24,L22,"#")&lt;&gt;W24,5,6)))))</f>
        <v>1</v>
      </c>
      <c r="AA22" s="263" t="str">
        <f ca="1">RIGHT(V22,1)</f>
        <v>2</v>
      </c>
      <c r="AB22" s="265" t="e">
        <f>#REF!</f>
        <v>#REF!</v>
      </c>
      <c r="AC22" s="65" t="str">
        <f>Groepswedstrijden!AA77</f>
        <v/>
      </c>
      <c r="AD22" s="143">
        <f ca="1">IF($AC$7=1,VLOOKUP($V22,#REF!,20,FALSE),IF($AC$11=1,VLOOKUP($V22,Groepswedstrijden!$AH$12:$BA$78,20,FALSE),""))</f>
        <v>2</v>
      </c>
      <c r="AE22" s="177" t="str">
        <f ca="1">IF($AC$7=1,VLOOKUP($V22,#REF!,3,FALSE),IF($AC$11=1,VLOOKUP($V22,Groepswedstrijden!$AH$12:$BA$78,3,FALSE),""))</f>
        <v>Kroatië</v>
      </c>
      <c r="AF22" s="143">
        <f ca="1">IF($AC$7=1,VLOOKUP($V22,#REF!,9,FALSE),IF($AC$11=1,VLOOKUP($V22,Groepswedstrijden!$AH$12:$BA$78,9,FALSE),""))</f>
        <v>0</v>
      </c>
      <c r="AG22" s="143">
        <f ca="1">IF($AC$7=1,VLOOKUP($V22,#REF!,10,FALSE),IF($AC$11=1,VLOOKUP($V22,Groepswedstrijden!$AH$12:$BA$78,10,FALSE),""))</f>
        <v>0</v>
      </c>
      <c r="AH22" s="143">
        <f ca="1">IF($AC$7=1,VLOOKUP($V22,#REF!,11,FALSE),IF($AC$11=1,VLOOKUP($V22,Groepswedstrijden!$AH$12:$BA$78,11,FALSE),""))</f>
        <v>0</v>
      </c>
      <c r="AI22" s="203">
        <f ca="1">IF($AC$7=1,VLOOKUP($V22,#REF!,19,FALSE),IF($AC$11=1,VLOOKUP($V22,Groepswedstrijden!$AH$12:$BA$78,19,FALSE),""))</f>
        <v>5000003500003</v>
      </c>
      <c r="AJ22" s="208">
        <f ca="1">FLOOR(IF($AD21=2,AI21,IF($AD22=2,AI22,IF($AD23=2,AI23,AI24)))/10,1)</f>
        <v>500000350000</v>
      </c>
      <c r="AL22" s="1272"/>
      <c r="AM22" s="357" t="str">
        <f ca="1">IF(AJ22=AJ21,"","2.")</f>
        <v/>
      </c>
      <c r="AN22" s="358" t="str">
        <f ca="1">IF($AD21=2,AE21,IF($AD22=2,AE22,IF($AD23=2,AE23,AE24)))</f>
        <v>Kroatië</v>
      </c>
      <c r="AO22" s="359">
        <f ca="1">IF($AD21=2,AF21,IF($AD22=2,AF22,IF($AD23=2,AF23,AF24)))</f>
        <v>0</v>
      </c>
      <c r="AP22" s="359">
        <f ca="1">IF($AD21=2,AG21,IF($AD22=2,AG22,IF($AD23=2,AG23,AG24)))</f>
        <v>0</v>
      </c>
      <c r="AQ22" s="359">
        <f ca="1">IF($AD21=2,AH21,IF($AD22=2,AH22,IF($AD23=2,AH23,AH24)))</f>
        <v>0</v>
      </c>
    </row>
    <row r="23" spans="2:43" ht="20.100000000000001" customHeight="1" x14ac:dyDescent="0.25">
      <c r="B23" s="17"/>
      <c r="C23" s="1049"/>
      <c r="D23" s="1265" t="str">
        <f ca="1">IF($S$12=1,IF($AC$7=1,AB19,IF($AC$11=1,AC19,"")),IF(AND($S$12=2,OR($Y$23="LEEG",$Y$23="ONGELDIG")),IF($AC$7=1,AB19,IF($AC$11=1,AC19,"")),""))</f>
        <v/>
      </c>
      <c r="E23" s="1265"/>
      <c r="F23" s="1265"/>
      <c r="G23" s="1265"/>
      <c r="H23" s="1265"/>
      <c r="I23" s="1265"/>
      <c r="J23" s="17"/>
      <c r="K23" s="1265" t="str">
        <f ca="1">IF($S$12=1,IF($AC$7=1,AB24,IF($AC$11=1,AC24,"")),IF(AND($S$12=2,OR($Z$23="LEEG",$Z$23="ONGELDIG")),IF($AC$7=1,AB24,IF($AC$11=1,AC24,"")),""))</f>
        <v/>
      </c>
      <c r="L23" s="1265"/>
      <c r="M23" s="1265"/>
      <c r="N23" s="1265"/>
      <c r="O23" s="1265"/>
      <c r="P23" s="1265"/>
      <c r="Q23" s="61"/>
      <c r="R23" s="17"/>
      <c r="S23" s="112">
        <f>S22+1</f>
        <v>4</v>
      </c>
      <c r="T23" s="86" t="str">
        <f ca="1">VLOOKUP(V23,Voorblad!$X$67:$Z$98,2,FALSE)</f>
        <v>Italië</v>
      </c>
      <c r="U23" s="10" t="str">
        <f ca="1">VLOOKUP(V23,Voorblad!$X$67:$Z$98,3,FALSE)</f>
        <v>IT</v>
      </c>
      <c r="V23" s="302" t="str">
        <f ca="1">V20&amp;3</f>
        <v>B3</v>
      </c>
      <c r="W23" s="626" t="str">
        <f>"|"&amp;Taal02!C14&amp;"|"&amp;Taal02!D14&amp;"|"&amp;Taal02!E14&amp;"|"&amp;Taal02!F14&amp;"|"&amp;Taal02!G14&amp;"|"&amp;Taal02!H14&amp;"|"&amp;Taal02!I14&amp;"|"&amp;Taal02!J14&amp;"|"</f>
        <v>|Italië|Italy|Italien|Italien|||||</v>
      </c>
      <c r="X23" s="185" t="s">
        <v>224</v>
      </c>
      <c r="Y23" s="144" t="str">
        <f>IF(Y22=1, "LEEG",IF(AND(Y22&gt;1,Y22&lt;6,TYPE(Y16+Y18+Y20+Y22)=1),IF(OR(Y22=Y16,Y22=Y18,Y22=Y20),"DUBBEL","GOED"),"ONGELDIG"))</f>
        <v>LEEG</v>
      </c>
      <c r="Z23" s="144" t="str">
        <f>IF(Z22=1, "LEEG",IF(AND(Z22&gt;1,Z22&lt;6,TYPE(Z16+Z18+Z20+Z22)=1),IF(OR(Z22=Z16,Z22=Z18,Z22=Z20),"DUBBEL","GOED"),"ONGELDIG"))</f>
        <v>LEEG</v>
      </c>
      <c r="AA23" s="263" t="str">
        <f ca="1">RIGHT(V23,1)</f>
        <v>3</v>
      </c>
      <c r="AB23" s="265" t="e">
        <f>#REF!</f>
        <v>#REF!</v>
      </c>
      <c r="AC23" s="65" t="str">
        <f>Groepswedstrijden!AA78</f>
        <v/>
      </c>
      <c r="AD23" s="143">
        <f ca="1">IF($AC$7=1,VLOOKUP($V23,#REF!,20,FALSE),IF($AC$11=1,VLOOKUP($V23,Groepswedstrijden!$AH$12:$BA$78,20,FALSE),""))</f>
        <v>3</v>
      </c>
      <c r="AE23" s="177" t="str">
        <f ca="1">IF($AC$7=1,VLOOKUP($V23,#REF!,3,FALSE),IF($AC$11=1,VLOOKUP($V23,Groepswedstrijden!$AH$12:$BA$78,3,FALSE),""))</f>
        <v>Italië</v>
      </c>
      <c r="AF23" s="143">
        <f ca="1">IF($AC$7=1,VLOOKUP($V23,#REF!,9,FALSE),IF($AC$11=1,VLOOKUP($V23,Groepswedstrijden!$AH$12:$BA$78,9,FALSE),""))</f>
        <v>0</v>
      </c>
      <c r="AG23" s="143">
        <f ca="1">IF($AC$7=1,VLOOKUP($V23,#REF!,10,FALSE),IF($AC$11=1,VLOOKUP($V23,Groepswedstrijden!$AH$12:$BA$78,10,FALSE),""))</f>
        <v>0</v>
      </c>
      <c r="AH23" s="143">
        <f ca="1">IF($AC$7=1,VLOOKUP($V23,#REF!,11,FALSE),IF($AC$11=1,VLOOKUP($V23,Groepswedstrijden!$AH$12:$BA$78,11,FALSE),""))</f>
        <v>0</v>
      </c>
      <c r="AI23" s="203">
        <f ca="1">IF($AC$7=1,VLOOKUP($V23,#REF!,19,FALSE),IF($AC$11=1,VLOOKUP($V23,Groepswedstrijden!$AH$12:$BA$78,19,FALSE),""))</f>
        <v>5000003500002</v>
      </c>
      <c r="AJ23" s="208">
        <f ca="1">FLOOR(IF($AD21=3,AI21,IF($AD22=3,AI22,IF($AD23=3,AI23,AI24)))/10,1)</f>
        <v>500000350000</v>
      </c>
      <c r="AL23" s="1272"/>
      <c r="AM23" s="357" t="str">
        <f ca="1">IF(AJ23=AJ22,"","3.")</f>
        <v/>
      </c>
      <c r="AN23" s="358" t="str">
        <f ca="1">IF($AD21=3,AE21,IF($AD22=3,AE22,IF($AD23=3,AE23,AE24)))</f>
        <v>Italië</v>
      </c>
      <c r="AO23" s="359">
        <f ca="1">IF($AD21=3,AF21,IF($AD22=3,AF22,IF($AD23=3,AF23,AF24)))</f>
        <v>0</v>
      </c>
      <c r="AP23" s="359">
        <f ca="1">IF($AD21=3,AG21,IF($AD22=3,AG22,IF($AD23=3,AG23,AG24)))</f>
        <v>0</v>
      </c>
      <c r="AQ23" s="359">
        <f ca="1">IF($AD21=3,AH21,IF($AD22=3,AH22,IF($AD23=3,AH23,AH24)))</f>
        <v>0</v>
      </c>
    </row>
    <row r="24" spans="2:43" ht="15" customHeight="1" x14ac:dyDescent="0.25">
      <c r="B24" s="17"/>
      <c r="C24" s="1049"/>
      <c r="D24" s="1269" t="str">
        <f ca="1">Taal04!$B$26&amp;" C"</f>
        <v>Groep C</v>
      </c>
      <c r="E24" s="1269"/>
      <c r="F24" s="17"/>
      <c r="G24" s="17"/>
      <c r="H24" s="17"/>
      <c r="I24" s="17"/>
      <c r="J24" s="17"/>
      <c r="K24" s="1269" t="str">
        <f ca="1">Taal04!$B$26&amp;" D"</f>
        <v>Groep D</v>
      </c>
      <c r="L24" s="1269"/>
      <c r="M24" s="17"/>
      <c r="N24" s="17"/>
      <c r="O24" s="17"/>
      <c r="P24" s="17"/>
      <c r="Q24" s="61"/>
      <c r="R24" s="17"/>
      <c r="S24" s="112">
        <f>S23+1</f>
        <v>5</v>
      </c>
      <c r="T24" s="137" t="str">
        <f ca="1">VLOOKUP(V24,Voorblad!$X$67:$Z$98,2,FALSE)</f>
        <v>Albanië</v>
      </c>
      <c r="U24" s="55" t="str">
        <f ca="1">VLOOKUP(V24,Voorblad!$X$67:$Z$98,3,FALSE)</f>
        <v>AL</v>
      </c>
      <c r="V24" s="305" t="str">
        <f ca="1">V20&amp;4</f>
        <v>B4</v>
      </c>
      <c r="W24" s="626" t="str">
        <f>"|"&amp;Taal02!C15&amp;"|"&amp;Taal02!D15&amp;"|"&amp;Taal02!E15&amp;"|"&amp;Taal02!F15&amp;"|"&amp;Taal02!G15&amp;"|"&amp;Taal02!H15&amp;"|"&amp;Taal02!I15&amp;"|"&amp;Taal02!J15&amp;"|"</f>
        <v>|Albanië|Albania|Albanien|Albanien|||||</v>
      </c>
      <c r="X24" s="185" t="s">
        <v>225</v>
      </c>
      <c r="Y24" s="439" t="str">
        <f>IF(TYPE(1*((Y16+Y18+Y20+Y22)&amp;(Y16*Y18*Y20*Y22)))=1,(Y16+Y18+Y20+Y22)&amp;(Y16*Y18*Y20*Y22),14120)</f>
        <v>41</v>
      </c>
      <c r="Z24" s="439" t="str">
        <f>IF(TYPE(1*((Z16+Z18+Z20+Z22)&amp;(Z16*Z18*Z20*Z22)))=1,(Z16+Z18+Z20+Z22)&amp;(Z16*Z18*Z20*Z22),14120)</f>
        <v>41</v>
      </c>
      <c r="AA24" s="263" t="str">
        <f ca="1">RIGHT(V24,1)</f>
        <v>4</v>
      </c>
      <c r="AB24" s="265" t="e">
        <f>#REF!</f>
        <v>#REF!</v>
      </c>
      <c r="AC24" s="65" t="str">
        <f>Groepswedstrijden!AA79</f>
        <v/>
      </c>
      <c r="AD24" s="143">
        <f ca="1">IF($AC$7=1,VLOOKUP($V24,#REF!,20,FALSE),IF($AC$11=1,VLOOKUP($V24,Groepswedstrijden!$AH$12:$BA$78,20,FALSE),""))</f>
        <v>4</v>
      </c>
      <c r="AE24" s="177" t="str">
        <f ca="1">IF($AC$7=1,VLOOKUP($V24,#REF!,3,FALSE),IF($AC$11=1,VLOOKUP($V24,Groepswedstrijden!$AH$12:$BA$78,3,FALSE),""))</f>
        <v>Albanië</v>
      </c>
      <c r="AF24" s="143">
        <f ca="1">IF($AC$7=1,VLOOKUP($V24,#REF!,9,FALSE),IF($AC$11=1,VLOOKUP($V24,Groepswedstrijden!$AH$12:$BA$78,9,FALSE),""))</f>
        <v>0</v>
      </c>
      <c r="AG24" s="143">
        <f ca="1">IF($AC$7=1,VLOOKUP($V24,#REF!,10,FALSE),IF($AC$11=1,VLOOKUP($V24,Groepswedstrijden!$AH$12:$BA$78,10,FALSE),""))</f>
        <v>0</v>
      </c>
      <c r="AH24" s="143">
        <f ca="1">IF($AC$7=1,VLOOKUP($V24,#REF!,11,FALSE),IF($AC$11=1,VLOOKUP($V24,Groepswedstrijden!$AH$12:$BA$78,11,FALSE),""))</f>
        <v>0</v>
      </c>
      <c r="AI24" s="203">
        <f ca="1">IF($AC$7=1,VLOOKUP($V24,#REF!,19,FALSE),IF($AC$11=1,VLOOKUP($V24,Groepswedstrijden!$AH$12:$BA$78,19,FALSE),""))</f>
        <v>5000003500001</v>
      </c>
      <c r="AJ24" s="208">
        <f ca="1">FLOOR(IF($AD21=4,AI21,IF($AD22=4,AI22,IF($AD23=4,AI23,AI24)))/10,1)</f>
        <v>500000350000</v>
      </c>
      <c r="AL24" s="1273"/>
      <c r="AM24" s="360" t="str">
        <f ca="1">IF(AJ24=AJ23,"","4.")</f>
        <v/>
      </c>
      <c r="AN24" s="361" t="str">
        <f ca="1">IF($AD21=4,AE21,IF($AD22=4,AE22,IF($AD23=4,AE23,AE24)))</f>
        <v>Albanië</v>
      </c>
      <c r="AO24" s="362">
        <f ca="1">IF($AD21=4,AF21,IF($AD22=4,AF22,IF($AD23=4,AF23,AF24)))</f>
        <v>0</v>
      </c>
      <c r="AP24" s="362">
        <f ca="1">IF($AD21=4,AG21,IF($AD22=4,AG22,IF($AD23=4,AG23,AG24)))</f>
        <v>0</v>
      </c>
      <c r="AQ24" s="362">
        <f ca="1">IF($AD21=4,AH21,IF($AD22=4,AH22,IF($AD23=4,AH23,AH24)))</f>
        <v>0</v>
      </c>
    </row>
    <row r="25" spans="2:43" ht="15" customHeight="1" x14ac:dyDescent="0.25">
      <c r="B25" s="17"/>
      <c r="C25" s="1049"/>
      <c r="D25" s="1270"/>
      <c r="E25" s="1270"/>
      <c r="F25" s="17"/>
      <c r="G25" s="17"/>
      <c r="H25" s="17"/>
      <c r="I25" s="17"/>
      <c r="J25" s="17"/>
      <c r="K25" s="1270"/>
      <c r="L25" s="1270"/>
      <c r="M25" s="17"/>
      <c r="N25" s="17"/>
      <c r="O25" s="17"/>
      <c r="P25" s="17"/>
      <c r="Q25" s="61"/>
      <c r="R25" s="17"/>
      <c r="S25" s="112">
        <v>1</v>
      </c>
      <c r="T25" s="136"/>
      <c r="U25" s="138"/>
      <c r="V25" s="299" t="str">
        <f ca="1">RIGHT(D24,1)</f>
        <v>C</v>
      </c>
      <c r="W25" s="625"/>
      <c r="X25" s="185" t="str">
        <f ca="1">"Deelnamecode "&amp;V25&amp;"/"&amp;V30</f>
        <v>Deelnamecode C/D</v>
      </c>
      <c r="Y25" s="152" t="str">
        <f>IF(AND(TYPE(Y26)=1,TYPE(Y28)=1,TYPE(Y30)=1,TYPE(Y32)=1),IF(AND(Y27="GOED",Y29="GOED",Y31="GOED",Y33="GOED"),LOOKUP(Y26,S26:S29,U26:U29)&amp;"."&amp;LOOKUP(Y28,S26:S29,U26:U29)&amp;"."&amp;LOOKUP(Y30,S26:S29,U26:U29)&amp;"."&amp;LOOKUP(Y32,S26:S29,U26:U29)&amp;"|","FOUT"),"ONGELDIG")</f>
        <v>FOUT</v>
      </c>
      <c r="Z25" s="152" t="str">
        <f>IF(AND(TYPE(Z26)=1,TYPE(Z28)=1,TYPE(Z30)=1,TYPE(Z32)=1),IF(AND(Z27="GOED",Z29="GOED",Z31="GOED",Z33="GOED"),LOOKUP(Z26,S31:S34,U31:U34)&amp;"."&amp;LOOKUP(Z28,S31:S34,U31:U34)&amp;"."&amp;LOOKUP(Z30,S31:S34,U31:U34)&amp;"."&amp;LOOKUP(Z32,S31:S34,U31:U34)&amp;"|","FOUT"),"ONGELDIG")</f>
        <v>FOUT</v>
      </c>
      <c r="AA25" s="65"/>
      <c r="AB25" s="264" t="str">
        <f ca="1">UPPER(Taal04!$B$26)&amp;" "&amp;V25</f>
        <v>GROEP C</v>
      </c>
      <c r="AC25" s="263" t="str">
        <f ca="1">AB25</f>
        <v>GROEP C</v>
      </c>
      <c r="AD25" s="143"/>
      <c r="AE25" s="178" t="str">
        <f ca="1">AB25</f>
        <v>GROEP C</v>
      </c>
      <c r="AF25" s="143"/>
      <c r="AG25" s="143"/>
      <c r="AH25" s="143"/>
      <c r="AI25" s="203"/>
      <c r="AJ25" s="207"/>
      <c r="AL25" s="639" t="str">
        <f ca="1">IF(AH6="JA","","└ "&amp;SUBSTITUTE(Taal04!B62,"#",RIGHT(AL21,1)))</f>
        <v>└ LET OP: niet alle wedstrijden in groep B zijn ingevuld.</v>
      </c>
    </row>
    <row r="26" spans="2:43" ht="15" customHeight="1" x14ac:dyDescent="0.25">
      <c r="B26" s="17"/>
      <c r="C26" s="1049"/>
      <c r="D26" s="353" t="s">
        <v>213</v>
      </c>
      <c r="E26" s="900"/>
      <c r="F26" s="624" t="str">
        <f>IF(Y27="LEEG","▼","")</f>
        <v>▼</v>
      </c>
      <c r="G26" s="17"/>
      <c r="H26" s="780"/>
      <c r="I26" s="780"/>
      <c r="J26" s="17"/>
      <c r="K26" s="353" t="s">
        <v>213</v>
      </c>
      <c r="L26" s="901"/>
      <c r="M26" s="624" t="str">
        <f>IF(Z27="LEEG","▼","")</f>
        <v>▼</v>
      </c>
      <c r="N26" s="17"/>
      <c r="O26" s="780"/>
      <c r="P26" s="780"/>
      <c r="Q26" s="61"/>
      <c r="R26" s="17"/>
      <c r="S26" s="112">
        <f>S25+1</f>
        <v>2</v>
      </c>
      <c r="T26" s="86" t="str">
        <f ca="1">VLOOKUP(V26,Voorblad!$X$67:$Z$98,2,FALSE)</f>
        <v>Slovenië</v>
      </c>
      <c r="U26" s="10" t="str">
        <f ca="1">VLOOKUP(V26,Voorblad!$X$67:$Z$98,3,FALSE)</f>
        <v>SI</v>
      </c>
      <c r="V26" s="302" t="str">
        <f ca="1">V25&amp;1</f>
        <v>C1</v>
      </c>
      <c r="W26" s="626" t="str">
        <f>"|"&amp;Taal02!C17&amp;"|"&amp;Taal02!D17&amp;"|"&amp;Taal02!E17&amp;"|"&amp;Taal02!F17&amp;"|"&amp;Taal02!G17&amp;"|"&amp;Taal02!H17&amp;"|"&amp;Taal02!I17&amp;"|"&amp;Taal02!J17&amp;"|"</f>
        <v>|Slovenië|Slovenia|Slowenien|Slovenien|||||</v>
      </c>
      <c r="X26" s="185" t="s">
        <v>217</v>
      </c>
      <c r="Y26" s="144">
        <f>IF(ISBLANK(E26),1,IF(SUBSTITUTE(W26,E26,"#")&lt;&gt;W26,2,IF(SUBSTITUTE(W27,E26,"#")&lt;&gt;W27,3,IF(SUBSTITUTE(W28,E26,"#")&lt;&gt;W28,4,IF(SUBSTITUTE(W29,E26,"#")&lt;&gt;W29,5,6)))))</f>
        <v>1</v>
      </c>
      <c r="Z26" s="144">
        <f>IF(ISBLANK(L26),1,IF(SUBSTITUTE(W31,L26,"#")&lt;&gt;W31,2,IF(SUBSTITUTE(W32,L26,"#")&lt;&gt;W32,3,IF(SUBSTITUTE(W33,L26,"#")&lt;&gt;W33,4,IF(SUBSTITUTE(W34,L26,"#")&lt;&gt;W34,5,6)))))</f>
        <v>1</v>
      </c>
      <c r="AA26" s="263" t="str">
        <f ca="1">RIGHT(V26,1)</f>
        <v>1</v>
      </c>
      <c r="AB26" s="265" t="e">
        <f>#REF!</f>
        <v>#REF!</v>
      </c>
      <c r="AC26" s="65" t="str">
        <f>Groepswedstrijden!AB76</f>
        <v/>
      </c>
      <c r="AD26" s="143">
        <f ca="1">IF($AC$7=1,VLOOKUP($V26,#REF!,20,FALSE),IF($AC$11=1,VLOOKUP($V26,Groepswedstrijden!$AH$12:$BA$78,20,FALSE),""))</f>
        <v>1</v>
      </c>
      <c r="AE26" s="177" t="str">
        <f ca="1">IF($AC$7=1,VLOOKUP($V26,#REF!,3,FALSE),IF($AC$11=1,VLOOKUP($V26,Groepswedstrijden!$AH$12:$BA$78,3,FALSE),""))</f>
        <v>Slovenië</v>
      </c>
      <c r="AF26" s="143">
        <f ca="1">IF($AC$7=1,VLOOKUP($V26,#REF!,9,FALSE),IF($AC$11=1,VLOOKUP($V26,Groepswedstrijden!$AH$12:$BA$78,9,FALSE),""))</f>
        <v>0</v>
      </c>
      <c r="AG26" s="143">
        <f ca="1">IF($AC$7=1,VLOOKUP($V26,#REF!,10,FALSE),IF($AC$11=1,VLOOKUP($V26,Groepswedstrijden!$AH$12:$BA$78,10,FALSE),""))</f>
        <v>0</v>
      </c>
      <c r="AH26" s="143">
        <f ca="1">IF($AC$7=1,VLOOKUP($V26,#REF!,11,FALSE),IF($AC$11=1,VLOOKUP($V26,Groepswedstrijden!$AH$12:$BA$78,11,FALSE),""))</f>
        <v>0</v>
      </c>
      <c r="AI26" s="203">
        <f ca="1">IF($AC$7=1,VLOOKUP($V26,#REF!,19,FALSE),IF($AC$11=1,VLOOKUP($V26,Groepswedstrijden!$AH$12:$BA$78,19,FALSE),""))</f>
        <v>5000003500004</v>
      </c>
      <c r="AJ26" s="208">
        <f ca="1">FLOOR(IF($AD26=1,AI26,IF($AD27=1,AI27,IF($AD28=1,AI28,AI29)))/10,1)</f>
        <v>500000350000</v>
      </c>
      <c r="AL26" s="1271" t="str">
        <f ca="1">AE25</f>
        <v>GROEP C</v>
      </c>
      <c r="AM26" s="354" t="s">
        <v>65</v>
      </c>
      <c r="AN26" s="355" t="str">
        <f ca="1">IF($AD26=1,AE26,IF($AD27=1,AE27,IF($AD28=1,AE28,AE29)))</f>
        <v>Slovenië</v>
      </c>
      <c r="AO26" s="356">
        <f ca="1">IF($AD26=1,AF26,IF($AD27=1,AF27,IF($AD28=1,AF28,AF29)))</f>
        <v>0</v>
      </c>
      <c r="AP26" s="356">
        <f ca="1">IF($AD26=1,AG26,IF($AD27=1,AG27,IF($AD28=1,AG28,AG29)))</f>
        <v>0</v>
      </c>
      <c r="AQ26" s="356">
        <f ca="1">IF($AD26=1,AH26,IF($AD27=1,AH27,IF($AD28=1,AH28,AH29)))</f>
        <v>0</v>
      </c>
    </row>
    <row r="27" spans="2:43" ht="20.100000000000001" customHeight="1" x14ac:dyDescent="0.25">
      <c r="B27" s="17"/>
      <c r="C27" s="1049"/>
      <c r="D27" s="1265" t="str">
        <f ca="1">IF($S$12=1,IF($AC$7=1,AB26,IF($AC$11=1,AC26,"")),IF(AND($S$12=2,OR($Y$27="LEEG",$Y$27="ONGELDIG")),IF($AC$7=1,AB26,IF($AC$11=1,AC26,"")),""))</f>
        <v/>
      </c>
      <c r="E27" s="1265"/>
      <c r="F27" s="1265"/>
      <c r="G27" s="1265"/>
      <c r="H27" s="1265"/>
      <c r="I27" s="1265"/>
      <c r="J27" s="17"/>
      <c r="K27" s="1265" t="str">
        <f ca="1">IF($S$12=1,IF($AC$7=1,AB31,IF($AC$11=1,AC31,"")),IF(AND($S$12=2,OR($Z$27="LEEG",$Z$27="ONGELDIG")),IF($AC$7=1,AB31,IF($AC$11=1,AC31,"")),""))</f>
        <v/>
      </c>
      <c r="L27" s="1265"/>
      <c r="M27" s="1265"/>
      <c r="N27" s="1265"/>
      <c r="O27" s="1265"/>
      <c r="P27" s="1265"/>
      <c r="Q27" s="61"/>
      <c r="R27" s="17"/>
      <c r="S27" s="112">
        <f>S26+1</f>
        <v>3</v>
      </c>
      <c r="T27" s="86" t="str">
        <f ca="1">VLOOKUP(V27,Voorblad!$X$67:$Z$98,2,FALSE)</f>
        <v>Denemarken</v>
      </c>
      <c r="U27" s="10" t="str">
        <f ca="1">VLOOKUP(V27,Voorblad!$X$67:$Z$98,3,FALSE)</f>
        <v>DK</v>
      </c>
      <c r="V27" s="302" t="str">
        <f ca="1">V25&amp;2</f>
        <v>C2</v>
      </c>
      <c r="W27" s="626" t="str">
        <f>"|"&amp;Taal02!C18&amp;"|"&amp;Taal02!D18&amp;"|"&amp;Taal02!E18&amp;"|"&amp;Taal02!F18&amp;"|"&amp;Taal02!G18&amp;"|"&amp;Taal02!H18&amp;"|"&amp;Taal02!I18&amp;"|"&amp;Taal02!J18&amp;"|"</f>
        <v>|Denemarken|Denmark|Dänemark|Danmark|||||</v>
      </c>
      <c r="X27" s="185" t="s">
        <v>218</v>
      </c>
      <c r="Y27" s="144" t="str">
        <f>IF(Y26=1, "LEEG",IF(AND(Y26&gt;1,Y26&lt;6,TYPE(Y26+Y28+Y30+Y32)=1),IF(OR(Y26=Y28,Y26=Y30,Y26=Y32),"DUBBEL","GOED"),"ONGELDIG"))</f>
        <v>LEEG</v>
      </c>
      <c r="Z27" s="144" t="str">
        <f>IF(Z26=1, "LEEG",IF(AND(Z26&gt;1,Z26&lt;6,TYPE(Z26+Z28+Z30+Z32)=1),IF(OR(Z26=Z28,Z26=Z30,Z26=Z32),"DUBBEL","GOED"),"ONGELDIG"))</f>
        <v>LEEG</v>
      </c>
      <c r="AA27" s="263" t="str">
        <f ca="1">RIGHT(V27,1)</f>
        <v>2</v>
      </c>
      <c r="AB27" s="265" t="e">
        <f>#REF!</f>
        <v>#REF!</v>
      </c>
      <c r="AC27" s="65" t="str">
        <f>Groepswedstrijden!AB77</f>
        <v/>
      </c>
      <c r="AD27" s="143">
        <f ca="1">IF($AC$7=1,VLOOKUP($V27,#REF!,20,FALSE),IF($AC$11=1,VLOOKUP($V27,Groepswedstrijden!$AH$12:$BA$78,20,FALSE),""))</f>
        <v>4</v>
      </c>
      <c r="AE27" s="177" t="str">
        <f ca="1">IF($AC$7=1,VLOOKUP($V27,#REF!,3,FALSE),IF($AC$11=1,VLOOKUP($V27,Groepswedstrijden!$AH$12:$BA$78,3,FALSE),""))</f>
        <v>Denemarken</v>
      </c>
      <c r="AF27" s="143">
        <f ca="1">IF($AC$7=1,VLOOKUP($V27,#REF!,9,FALSE),IF($AC$11=1,VLOOKUP($V27,Groepswedstrijden!$AH$12:$BA$78,9,FALSE),""))</f>
        <v>0</v>
      </c>
      <c r="AG27" s="143">
        <f ca="1">IF($AC$7=1,VLOOKUP($V27,#REF!,10,FALSE),IF($AC$11=1,VLOOKUP($V27,Groepswedstrijden!$AH$12:$BA$78,10,FALSE),""))</f>
        <v>0</v>
      </c>
      <c r="AH27" s="143">
        <f ca="1">IF($AC$7=1,VLOOKUP($V27,#REF!,11,FALSE),IF($AC$11=1,VLOOKUP($V27,Groepswedstrijden!$AH$12:$BA$78,11,FALSE),""))</f>
        <v>0</v>
      </c>
      <c r="AI27" s="203">
        <f ca="1">IF($AC$7=1,VLOOKUP($V27,#REF!,19,FALSE),IF($AC$11=1,VLOOKUP($V27,Groepswedstrijden!$AH$12:$BA$78,19,FALSE),""))</f>
        <v>5000003500001</v>
      </c>
      <c r="AJ27" s="208">
        <f ca="1">FLOOR(IF($AD26=2,AI26,IF($AD27=2,AI27,IF($AD28=2,AI28,AI29)))/10,1)</f>
        <v>500000350000</v>
      </c>
      <c r="AL27" s="1272"/>
      <c r="AM27" s="357" t="str">
        <f ca="1">IF(AJ27=AJ26,"","2.")</f>
        <v/>
      </c>
      <c r="AN27" s="358" t="str">
        <f ca="1">IF($AD26=2,AE26,IF($AD27=2,AE27,IF($AD28=2,AE28,AE29)))</f>
        <v>Servië</v>
      </c>
      <c r="AO27" s="359">
        <f ca="1">IF($AD26=2,AF26,IF($AD27=2,AF27,IF($AD28=2,AF28,AF29)))</f>
        <v>0</v>
      </c>
      <c r="AP27" s="359">
        <f ca="1">IF($AD26=2,AG26,IF($AD27=2,AG27,IF($AD28=2,AG28,AG29)))</f>
        <v>0</v>
      </c>
      <c r="AQ27" s="359">
        <f ca="1">IF($AD26=2,AH26,IF($AD27=2,AH27,IF($AD28=2,AH28,AH29)))</f>
        <v>0</v>
      </c>
    </row>
    <row r="28" spans="2:43" ht="15" customHeight="1" x14ac:dyDescent="0.25">
      <c r="B28" s="17"/>
      <c r="C28" s="1049"/>
      <c r="D28" s="353" t="s">
        <v>214</v>
      </c>
      <c r="E28" s="900"/>
      <c r="F28" s="624" t="str">
        <f>IF(Y29="LEEG","▼","")</f>
        <v>▼</v>
      </c>
      <c r="G28" s="17"/>
      <c r="H28" s="17"/>
      <c r="I28" s="17"/>
      <c r="J28" s="17"/>
      <c r="K28" s="353" t="s">
        <v>214</v>
      </c>
      <c r="L28" s="901"/>
      <c r="M28" s="624" t="str">
        <f>IF(Z29="LEEG","▼","")</f>
        <v>▼</v>
      </c>
      <c r="N28" s="17"/>
      <c r="O28" s="17"/>
      <c r="P28" s="17"/>
      <c r="Q28" s="61"/>
      <c r="R28" s="17"/>
      <c r="S28" s="112">
        <f>S27+1</f>
        <v>4</v>
      </c>
      <c r="T28" s="86" t="str">
        <f ca="1">VLOOKUP(V28,Voorblad!$X$67:$Z$98,2,FALSE)</f>
        <v>Servië</v>
      </c>
      <c r="U28" s="10" t="str">
        <f ca="1">VLOOKUP(V28,Voorblad!$X$67:$Z$98,3,FALSE)</f>
        <v>RS</v>
      </c>
      <c r="V28" s="302" t="str">
        <f ca="1">V25&amp;3</f>
        <v>C3</v>
      </c>
      <c r="W28" s="626" t="str">
        <f>"|"&amp;Taal02!C19&amp;"|"&amp;Taal02!D19&amp;"|"&amp;Taal02!E19&amp;"|"&amp;Taal02!F19&amp;"|"&amp;Taal02!G19&amp;"|"&amp;Taal02!H19&amp;"|"&amp;Taal02!I19&amp;"|"&amp;Taal02!J19&amp;"|"</f>
        <v>|Servië|Serbia|Serbien|Serbien|||||</v>
      </c>
      <c r="X28" s="185" t="s">
        <v>219</v>
      </c>
      <c r="Y28" s="144">
        <f>IF(ISBLANK(E28),1,IF(SUBSTITUTE(W26,E28,"#")&lt;&gt;W26,2,IF(SUBSTITUTE(W27,E28,"#")&lt;&gt;W27,3,IF(SUBSTITUTE(W28,E28,"#")&lt;&gt;W28,4,IF(SUBSTITUTE(W29,E28,"#")&lt;&gt;W29,5,6)))))</f>
        <v>1</v>
      </c>
      <c r="Z28" s="144">
        <f>IF(ISBLANK(L28),1,IF(SUBSTITUTE(W31,L28,"#")&lt;&gt;W31,2,IF(SUBSTITUTE(W32,L28,"#")&lt;&gt;W32,3,IF(SUBSTITUTE(W33,L28,"#")&lt;&gt;W33,4,IF(SUBSTITUTE(W34,L28,"#")&lt;&gt;W34,5,6)))))</f>
        <v>1</v>
      </c>
      <c r="AA28" s="263" t="str">
        <f ca="1">RIGHT(V28,1)</f>
        <v>3</v>
      </c>
      <c r="AB28" s="265" t="e">
        <f>#REF!</f>
        <v>#REF!</v>
      </c>
      <c r="AC28" s="65" t="str">
        <f>Groepswedstrijden!AB78</f>
        <v/>
      </c>
      <c r="AD28" s="143">
        <f ca="1">IF($AC$7=1,VLOOKUP($V28,#REF!,20,FALSE),IF($AC$11=1,VLOOKUP($V28,Groepswedstrijden!$AH$12:$BA$78,20,FALSE),""))</f>
        <v>2</v>
      </c>
      <c r="AE28" s="177" t="str">
        <f ca="1">IF($AC$7=1,VLOOKUP($V28,#REF!,3,FALSE),IF($AC$11=1,VLOOKUP($V28,Groepswedstrijden!$AH$12:$BA$78,3,FALSE),""))</f>
        <v>Servië</v>
      </c>
      <c r="AF28" s="143">
        <f ca="1">IF($AC$7=1,VLOOKUP($V28,#REF!,9,FALSE),IF($AC$11=1,VLOOKUP($V28,Groepswedstrijden!$AH$12:$BA$78,9,FALSE),""))</f>
        <v>0</v>
      </c>
      <c r="AG28" s="143">
        <f ca="1">IF($AC$7=1,VLOOKUP($V28,#REF!,10,FALSE),IF($AC$11=1,VLOOKUP($V28,Groepswedstrijden!$AH$12:$BA$78,10,FALSE),""))</f>
        <v>0</v>
      </c>
      <c r="AH28" s="143">
        <f ca="1">IF($AC$7=1,VLOOKUP($V28,#REF!,11,FALSE),IF($AC$11=1,VLOOKUP($V28,Groepswedstrijden!$AH$12:$BA$78,11,FALSE),""))</f>
        <v>0</v>
      </c>
      <c r="AI28" s="203">
        <f ca="1">IF($AC$7=1,VLOOKUP($V28,#REF!,19,FALSE),IF($AC$11=1,VLOOKUP($V28,Groepswedstrijden!$AH$12:$BA$78,19,FALSE),""))</f>
        <v>5000003500003</v>
      </c>
      <c r="AJ28" s="208">
        <f ca="1">FLOOR(IF($AD26=3,AI26,IF($AD27=3,AI27,IF($AD28=3,AI28,AI29)))/10,1)</f>
        <v>500000350000</v>
      </c>
      <c r="AL28" s="1272"/>
      <c r="AM28" s="357" t="str">
        <f ca="1">IF(AJ28=AJ27,"","3.")</f>
        <v/>
      </c>
      <c r="AN28" s="358" t="str">
        <f ca="1">IF($AD26=3,AE26,IF($AD27=3,AE27,IF($AD28=3,AE28,AE29)))</f>
        <v>Engeland</v>
      </c>
      <c r="AO28" s="359">
        <f ca="1">IF($AD26=3,AF26,IF($AD27=3,AF27,IF($AD28=3,AF28,AF29)))</f>
        <v>0</v>
      </c>
      <c r="AP28" s="359">
        <f ca="1">IF($AD26=3,AG26,IF($AD27=3,AG27,IF($AD28=3,AG28,AG29)))</f>
        <v>0</v>
      </c>
      <c r="AQ28" s="359">
        <f ca="1">IF($AD26=3,AH26,IF($AD27=3,AH27,IF($AD28=3,AH28,AH29)))</f>
        <v>0</v>
      </c>
    </row>
    <row r="29" spans="2:43" ht="20.100000000000001" customHeight="1" x14ac:dyDescent="0.25">
      <c r="B29" s="17"/>
      <c r="C29" s="1049"/>
      <c r="D29" s="1265" t="str">
        <f ca="1">IF($S$12=1,IF($AC$7=1,AB27,IF($AC$11=1,AC27,"")),IF(AND($S$12=2,OR($Y$29="LEEG",$Y$29="ONGELDIG")),IF($AC$7=1,AB27,IF($AC$11=1,AC27,"")),""))</f>
        <v/>
      </c>
      <c r="E29" s="1265"/>
      <c r="F29" s="1265"/>
      <c r="G29" s="1265"/>
      <c r="H29" s="1265"/>
      <c r="I29" s="1265"/>
      <c r="J29" s="17"/>
      <c r="K29" s="1265" t="str">
        <f ca="1">IF($S$12=1,IF($AC$7=1,AB32,IF($AC$11=1,AC32,"")),IF(AND($S$12=2,OR($Z$29="LEEG",$Z$29="ONGELDIG")),IF($AC$7=1,AB32,IF($AC$11=1,AC32,"")),""))</f>
        <v/>
      </c>
      <c r="L29" s="1265"/>
      <c r="M29" s="1265"/>
      <c r="N29" s="1265"/>
      <c r="O29" s="1265"/>
      <c r="P29" s="1265"/>
      <c r="Q29" s="61"/>
      <c r="R29" s="17"/>
      <c r="S29" s="112">
        <f>S28+1</f>
        <v>5</v>
      </c>
      <c r="T29" s="137" t="str">
        <f ca="1">VLOOKUP(V29,Voorblad!$X$67:$Z$98,2,FALSE)</f>
        <v>Engeland</v>
      </c>
      <c r="U29" s="55" t="str">
        <f ca="1">VLOOKUP(V29,Voorblad!$X$67:$Z$98,3,FALSE)</f>
        <v>GB</v>
      </c>
      <c r="V29" s="305" t="str">
        <f ca="1">V25&amp;4</f>
        <v>C4</v>
      </c>
      <c r="W29" s="626" t="str">
        <f>"|"&amp;Taal02!C20&amp;"|"&amp;Taal02!D20&amp;"|"&amp;Taal02!E20&amp;"|"&amp;Taal02!F20&amp;"|"&amp;Taal02!G20&amp;"|"&amp;Taal02!H20&amp;"|"&amp;Taal02!I20&amp;"|"&amp;Taal02!J20&amp;"|"</f>
        <v>|Engeland|England|England|England|||||</v>
      </c>
      <c r="X29" s="185" t="s">
        <v>220</v>
      </c>
      <c r="Y29" s="144" t="str">
        <f>IF(Y28=1, "LEEG",IF(AND(Y28&gt;1,Y28&lt;6,TYPE(Y26+Y28+Y30+Y32)=1),IF(OR(Y28=Y26,Y28=Y30,Y28=Y32),"DUBBEL","GOED"),"ONGELDIG"))</f>
        <v>LEEG</v>
      </c>
      <c r="Z29" s="144" t="str">
        <f>IF(Z28=1, "LEEG",IF(AND(Z28&gt;1,Z28&lt;6,TYPE(Z26+Z28+Z30+Z32)=1),IF(OR(Z28=Z26,Z28=Z30,Z28=Z32),"DUBBEL","GOED"),"ONGELDIG"))</f>
        <v>LEEG</v>
      </c>
      <c r="AA29" s="263" t="str">
        <f ca="1">RIGHT(V29,1)</f>
        <v>4</v>
      </c>
      <c r="AB29" s="265" t="e">
        <f>#REF!</f>
        <v>#REF!</v>
      </c>
      <c r="AC29" s="65" t="str">
        <f>Groepswedstrijden!AB79</f>
        <v/>
      </c>
      <c r="AD29" s="143">
        <f ca="1">IF($AC$7=1,VLOOKUP($V29,#REF!,20,FALSE),IF($AC$11=1,VLOOKUP($V29,Groepswedstrijden!$AH$12:$BA$78,20,FALSE),""))</f>
        <v>3</v>
      </c>
      <c r="AE29" s="177" t="str">
        <f ca="1">IF($AC$7=1,VLOOKUP($V29,#REF!,3,FALSE),IF($AC$11=1,VLOOKUP($V29,Groepswedstrijden!$AH$12:$BA$78,3,FALSE),""))</f>
        <v>Engeland</v>
      </c>
      <c r="AF29" s="143">
        <f ca="1">IF($AC$7=1,VLOOKUP($V29,#REF!,9,FALSE),IF($AC$11=1,VLOOKUP($V29,Groepswedstrijden!$AH$12:$BA$78,9,FALSE),""))</f>
        <v>0</v>
      </c>
      <c r="AG29" s="143">
        <f ca="1">IF($AC$7=1,VLOOKUP($V29,#REF!,10,FALSE),IF($AC$11=1,VLOOKUP($V29,Groepswedstrijden!$AH$12:$BA$78,10,FALSE),""))</f>
        <v>0</v>
      </c>
      <c r="AH29" s="143">
        <f ca="1">IF($AC$7=1,VLOOKUP($V29,#REF!,11,FALSE),IF($AC$11=1,VLOOKUP($V29,Groepswedstrijden!$AH$12:$BA$78,11,FALSE),""))</f>
        <v>0</v>
      </c>
      <c r="AI29" s="203">
        <f ca="1">IF($AC$7=1,VLOOKUP($V29,#REF!,19,FALSE),IF($AC$11=1,VLOOKUP($V29,Groepswedstrijden!$AH$12:$BA$78,19,FALSE),""))</f>
        <v>5000003500002</v>
      </c>
      <c r="AJ29" s="208">
        <f ca="1">FLOOR(IF($AD26=4,AI26,IF($AD27=4,AI27,IF($AD28=4,AI28,AI29)))/10,1)</f>
        <v>500000350000</v>
      </c>
      <c r="AL29" s="1273"/>
      <c r="AM29" s="360" t="str">
        <f ca="1">IF(AJ29=AJ28,"","4.")</f>
        <v/>
      </c>
      <c r="AN29" s="361" t="str">
        <f ca="1">IF($AD26=4,AE26,IF($AD27=4,AE27,IF($AD28=4,AE28,AE29)))</f>
        <v>Denemarken</v>
      </c>
      <c r="AO29" s="362">
        <f ca="1">IF($AD26=4,AF26,IF($AD27=4,AF27,IF($AD28=4,AF28,AF29)))</f>
        <v>0</v>
      </c>
      <c r="AP29" s="362">
        <f ca="1">IF($AD26=4,AG26,IF($AD27=4,AG27,IF($AD28=4,AG28,AG29)))</f>
        <v>0</v>
      </c>
      <c r="AQ29" s="362">
        <f ca="1">IF($AD26=4,AH26,IF($AD27=4,AH27,IF($AD28=4,AH28,AH29)))</f>
        <v>0</v>
      </c>
    </row>
    <row r="30" spans="2:43" ht="15" customHeight="1" x14ac:dyDescent="0.25">
      <c r="B30" s="17"/>
      <c r="C30" s="1049"/>
      <c r="D30" s="353" t="s">
        <v>215</v>
      </c>
      <c r="E30" s="900"/>
      <c r="F30" s="624" t="str">
        <f>IF(Y31="LEEG","▼","")</f>
        <v>▼</v>
      </c>
      <c r="G30" s="17"/>
      <c r="H30" s="17"/>
      <c r="I30" s="17"/>
      <c r="J30" s="17"/>
      <c r="K30" s="353" t="s">
        <v>215</v>
      </c>
      <c r="L30" s="901"/>
      <c r="M30" s="624" t="str">
        <f>IF(Z31="LEEG","▼","")</f>
        <v>▼</v>
      </c>
      <c r="N30" s="17"/>
      <c r="O30" s="17"/>
      <c r="P30" s="17"/>
      <c r="Q30" s="61"/>
      <c r="R30" s="17"/>
      <c r="S30" s="112">
        <v>1</v>
      </c>
      <c r="T30" s="136"/>
      <c r="U30" s="52"/>
      <c r="V30" s="299" t="str">
        <f ca="1">RIGHT(K24,1)</f>
        <v>D</v>
      </c>
      <c r="W30" s="625"/>
      <c r="X30" s="185" t="s">
        <v>221</v>
      </c>
      <c r="Y30" s="144">
        <f>IF(ISBLANK(E30),1,IF(SUBSTITUTE(W26,E30,"#")&lt;&gt;W26,2,IF(SUBSTITUTE(W27,E30,"#")&lt;&gt;W27,3,IF(SUBSTITUTE(W28,E30,"#")&lt;&gt;W28,4,IF(SUBSTITUTE(W29,E30,"#")&lt;&gt;W29,5,6)))))</f>
        <v>1</v>
      </c>
      <c r="Z30" s="144">
        <f>IF(ISBLANK(L30),1,IF(SUBSTITUTE(W31,L30,"#")&lt;&gt;W31,2,IF(SUBSTITUTE(W32,L30,"#")&lt;&gt;W32,3,IF(SUBSTITUTE(W33,L30,"#")&lt;&gt;W33,4,IF(SUBSTITUTE(W34,L30,"#")&lt;&gt;W34,5,6)))))</f>
        <v>1</v>
      </c>
      <c r="AA30" s="65"/>
      <c r="AB30" s="264" t="str">
        <f ca="1">UPPER(Taal04!$B$26)&amp;" "&amp;V30</f>
        <v>GROEP D</v>
      </c>
      <c r="AC30" s="263" t="str">
        <f ca="1">AB30</f>
        <v>GROEP D</v>
      </c>
      <c r="AD30" s="143"/>
      <c r="AE30" s="178" t="str">
        <f ca="1">AB30</f>
        <v>GROEP D</v>
      </c>
      <c r="AF30" s="143"/>
      <c r="AG30" s="143"/>
      <c r="AH30" s="143"/>
      <c r="AI30" s="203"/>
      <c r="AJ30" s="207"/>
      <c r="AL30" s="639" t="str">
        <f ca="1">IF(AF7="JA","","└ "&amp;SUBSTITUTE(Taal04!B62,"#",RIGHT(AL26,1)))</f>
        <v>└ LET OP: niet alle wedstrijden in groep C zijn ingevuld.</v>
      </c>
      <c r="AM30" s="638"/>
      <c r="AP30" s="640"/>
      <c r="AQ30" s="640"/>
    </row>
    <row r="31" spans="2:43" ht="20.100000000000001" customHeight="1" x14ac:dyDescent="0.25">
      <c r="B31" s="17"/>
      <c r="C31" s="1049"/>
      <c r="D31" s="1265" t="str">
        <f ca="1">IF($S$12=1,IF($AC$7=1,AB28,IF($AC$11=1,AC28,"")),IF(AND($S$12=2,OR($Y$31="LEEG",$Y$31="ONGELDIG")),IF($AC$7=1,AB28,IF($AC$11=1,AC28,"")),""))</f>
        <v/>
      </c>
      <c r="E31" s="1265"/>
      <c r="F31" s="1265"/>
      <c r="G31" s="1265"/>
      <c r="H31" s="1265"/>
      <c r="I31" s="1265"/>
      <c r="J31" s="17"/>
      <c r="K31" s="1265" t="str">
        <f ca="1">IF($S$12=1,IF($AC$7=1,AB33,IF($AC$11=1,AC33,"")),IF(AND($S$12=2,OR($Z$31="LEEG",$Z$31="ONGELDIG")),IF($AC$7=1,AB33,IF($AC$11=1,AC33,"")),""))</f>
        <v/>
      </c>
      <c r="L31" s="1265"/>
      <c r="M31" s="1265"/>
      <c r="N31" s="1265"/>
      <c r="O31" s="1265"/>
      <c r="P31" s="1265"/>
      <c r="Q31" s="61"/>
      <c r="R31" s="17"/>
      <c r="S31" s="112">
        <f>S30+1</f>
        <v>2</v>
      </c>
      <c r="T31" s="86" t="str">
        <f ca="1">VLOOKUP(V31,Voorblad!$X$67:$Z$98,2,FALSE)</f>
        <v>Polen</v>
      </c>
      <c r="U31" s="10" t="str">
        <f ca="1">VLOOKUP(V31,Voorblad!$X$67:$Z$98,3,FALSE)</f>
        <v>PL</v>
      </c>
      <c r="V31" s="302" t="str">
        <f ca="1">V30&amp;1</f>
        <v>D1</v>
      </c>
      <c r="W31" s="626" t="str">
        <f>"|"&amp;Taal02!C22&amp;"|"&amp;Taal02!D22&amp;"|"&amp;Taal02!E22&amp;"|"&amp;Taal02!F22&amp;"|"&amp;Taal02!G22&amp;"|"&amp;Taal02!H22&amp;"|"&amp;Taal02!I22&amp;"|"&amp;Taal02!J22&amp;"|"</f>
        <v>|Polen|Poland|Polen|Polen|||||</v>
      </c>
      <c r="X31" s="185" t="s">
        <v>222</v>
      </c>
      <c r="Y31" s="144" t="str">
        <f>IF(Y30=1, "LEEG",IF(AND(Y30&gt;1,Y30&lt;6,TYPE(Y26+Y28+Y30+Y32)=1),IF(OR(Y30=Y26,Y30=Y28,Y30=Y32),"DUBBEL","GOED"),"ONGELDIG"))</f>
        <v>LEEG</v>
      </c>
      <c r="Z31" s="144" t="str">
        <f>IF(Z30=1, "LEEG",IF(AND(Z30&gt;1,Z30&lt;6,TYPE(Z26+Z28+Z30+Z32)=1),IF(OR(Z30=Z26,Z30=Z28,Z30=Z32),"DUBBEL","GOED"),"ONGELDIG"))</f>
        <v>LEEG</v>
      </c>
      <c r="AA31" s="263" t="str">
        <f ca="1">RIGHT(V31,1)</f>
        <v>1</v>
      </c>
      <c r="AB31" s="265" t="e">
        <f>#REF!</f>
        <v>#REF!</v>
      </c>
      <c r="AC31" s="65" t="str">
        <f>Groepswedstrijden!AC76</f>
        <v/>
      </c>
      <c r="AD31" s="143">
        <f ca="1">IF($AC$7=1,VLOOKUP($V31,#REF!,20,FALSE),IF($AC$11=1,VLOOKUP($V31,Groepswedstrijden!$AH$12:$BA$78,20,FALSE),""))</f>
        <v>1</v>
      </c>
      <c r="AE31" s="177" t="str">
        <f ca="1">IF($AC$7=1,VLOOKUP($V31,#REF!,3,FALSE),IF($AC$11=1,VLOOKUP($V31,Groepswedstrijden!$AH$12:$BA$78,3,FALSE),""))</f>
        <v>Polen</v>
      </c>
      <c r="AF31" s="143">
        <f ca="1">IF($AC$7=1,VLOOKUP($V31,#REF!,9,FALSE),IF($AC$11=1,VLOOKUP($V31,Groepswedstrijden!$AH$12:$BA$78,9,FALSE),""))</f>
        <v>0</v>
      </c>
      <c r="AG31" s="143">
        <f ca="1">IF($AC$7=1,VLOOKUP($V31,#REF!,10,FALSE),IF($AC$11=1,VLOOKUP($V31,Groepswedstrijden!$AH$12:$BA$78,10,FALSE),""))</f>
        <v>0</v>
      </c>
      <c r="AH31" s="143">
        <f ca="1">IF($AC$7=1,VLOOKUP($V31,#REF!,11,FALSE),IF($AC$11=1,VLOOKUP($V31,Groepswedstrijden!$AH$12:$BA$78,11,FALSE),""))</f>
        <v>0</v>
      </c>
      <c r="AI31" s="203">
        <f ca="1">IF($AC$7=1,VLOOKUP($V31,#REF!,19,FALSE),IF($AC$11=1,VLOOKUP($V31,Groepswedstrijden!$AH$12:$BA$78,19,FALSE),""))</f>
        <v>5000003500004</v>
      </c>
      <c r="AJ31" s="208">
        <f ca="1">FLOOR(IF($AD31=1,AI31,IF($AD32=1,AI32,IF($AD33=1,AI33,AI34)))/10,1)</f>
        <v>500000350000</v>
      </c>
      <c r="AL31" s="1271" t="str">
        <f ca="1">AE30</f>
        <v>GROEP D</v>
      </c>
      <c r="AM31" s="354" t="s">
        <v>65</v>
      </c>
      <c r="AN31" s="355" t="str">
        <f ca="1">IF($AD31=1,AE31,IF($AD32=1,AE32,IF($AD33=1,AE33,AE34)))</f>
        <v>Polen</v>
      </c>
      <c r="AO31" s="356">
        <f ca="1">IF($AD31=1,AF31,IF($AD32=1,AF32,IF($AD33=1,AF33,AF34)))</f>
        <v>0</v>
      </c>
      <c r="AP31" s="356">
        <f ca="1">IF($AD31=1,AG31,IF($AD32=1,AG32,IF($AD33=1,AG33,AG34)))</f>
        <v>0</v>
      </c>
      <c r="AQ31" s="356">
        <f ca="1">IF($AD31=1,AH31,IF($AD32=1,AH32,IF($AD33=1,AH33,AH34)))</f>
        <v>0</v>
      </c>
    </row>
    <row r="32" spans="2:43" ht="15" customHeight="1" x14ac:dyDescent="0.25">
      <c r="B32" s="17"/>
      <c r="C32" s="1049"/>
      <c r="D32" s="353" t="s">
        <v>216</v>
      </c>
      <c r="E32" s="900"/>
      <c r="F32" s="624" t="str">
        <f>IF(Y33="LEEG","▼","")</f>
        <v>▼</v>
      </c>
      <c r="G32" s="17"/>
      <c r="H32" s="17"/>
      <c r="I32" s="17"/>
      <c r="J32" s="17"/>
      <c r="K32" s="353" t="s">
        <v>216</v>
      </c>
      <c r="L32" s="901"/>
      <c r="M32" s="624" t="str">
        <f>IF(Z33="LEEG","▼","")</f>
        <v>▼</v>
      </c>
      <c r="N32" s="17"/>
      <c r="O32" s="17"/>
      <c r="P32" s="17"/>
      <c r="Q32" s="61"/>
      <c r="R32" s="17"/>
      <c r="S32" s="112">
        <f>S31+1</f>
        <v>3</v>
      </c>
      <c r="T32" s="86" t="str">
        <f ca="1">VLOOKUP(V32,Voorblad!$X$67:$Z$98,2,FALSE)</f>
        <v>Nederland</v>
      </c>
      <c r="U32" s="10" t="str">
        <f ca="1">VLOOKUP(V32,Voorblad!$X$67:$Z$98,3,FALSE)</f>
        <v>NL</v>
      </c>
      <c r="V32" s="302" t="str">
        <f ca="1">V30&amp;2</f>
        <v>D2</v>
      </c>
      <c r="W32" s="626" t="str">
        <f>"|"&amp;Taal02!C23&amp;"|"&amp;Taal02!D23&amp;"|"&amp;Taal02!E23&amp;"|"&amp;Taal02!F23&amp;"|"&amp;Taal02!G23&amp;"|"&amp;Taal02!H23&amp;"|"&amp;Taal02!I23&amp;"|"&amp;Taal02!J23&amp;"|"</f>
        <v>|Nederland|Netherlands|Niederlande|Nederländerna|||||</v>
      </c>
      <c r="X32" s="185" t="s">
        <v>223</v>
      </c>
      <c r="Y32" s="144">
        <f>IF(ISBLANK(E32),1,IF(SUBSTITUTE(W26,E32,"#")&lt;&gt;W26,2,IF(SUBSTITUTE(W27,E32,"#")&lt;&gt;W27,3,IF(SUBSTITUTE(W28,E32,"#")&lt;&gt;W28,4,IF(SUBSTITUTE(W29,E32,"#")&lt;&gt;W29,5,6)))))</f>
        <v>1</v>
      </c>
      <c r="Z32" s="144">
        <f>IF(ISBLANK(L32),1,IF(SUBSTITUTE(W31,L32,"#")&lt;&gt;W31,2,IF(SUBSTITUTE(W32,L32,"#")&lt;&gt;W32,3,IF(SUBSTITUTE(W33,L32,"#")&lt;&gt;W33,4,IF(SUBSTITUTE(W34,L32,"#")&lt;&gt;W34,5,6)))))</f>
        <v>1</v>
      </c>
      <c r="AA32" s="263" t="str">
        <f ca="1">RIGHT(V32,1)</f>
        <v>2</v>
      </c>
      <c r="AB32" s="265" t="e">
        <f>#REF!</f>
        <v>#REF!</v>
      </c>
      <c r="AC32" s="65" t="str">
        <f>Groepswedstrijden!AC77</f>
        <v/>
      </c>
      <c r="AD32" s="143">
        <f ca="1">IF($AC$7=1,VLOOKUP($V32,#REF!,20,FALSE),IF($AC$11=1,VLOOKUP($V32,Groepswedstrijden!$AH$12:$BA$78,20,FALSE),""))</f>
        <v>3</v>
      </c>
      <c r="AE32" s="177" t="str">
        <f ca="1">IF($AC$7=1,VLOOKUP($V32,#REF!,3,FALSE),IF($AC$11=1,VLOOKUP($V32,Groepswedstrijden!$AH$12:$BA$78,3,FALSE),""))</f>
        <v>Nederland</v>
      </c>
      <c r="AF32" s="143">
        <f ca="1">IF($AC$7=1,VLOOKUP($V32,#REF!,9,FALSE),IF($AC$11=1,VLOOKUP($V32,Groepswedstrijden!$AH$12:$BA$78,9,FALSE),""))</f>
        <v>0</v>
      </c>
      <c r="AG32" s="143">
        <f ca="1">IF($AC$7=1,VLOOKUP($V32,#REF!,10,FALSE),IF($AC$11=1,VLOOKUP($V32,Groepswedstrijden!$AH$12:$BA$78,10,FALSE),""))</f>
        <v>0</v>
      </c>
      <c r="AH32" s="143">
        <f ca="1">IF($AC$7=1,VLOOKUP($V32,#REF!,11,FALSE),IF($AC$11=1,VLOOKUP($V32,Groepswedstrijden!$AH$12:$BA$78,11,FALSE),""))</f>
        <v>0</v>
      </c>
      <c r="AI32" s="203">
        <f ca="1">IF($AC$7=1,VLOOKUP($V32,#REF!,19,FALSE),IF($AC$11=1,VLOOKUP($V32,Groepswedstrijden!$AH$12:$BA$78,19,FALSE),""))</f>
        <v>5000003500002</v>
      </c>
      <c r="AJ32" s="208">
        <f ca="1">FLOOR(IF($AD31=2,AI31,IF($AD32=2,AI32,IF($AD33=2,AI33,AI34)))/10,1)</f>
        <v>500000350000</v>
      </c>
      <c r="AL32" s="1272"/>
      <c r="AM32" s="357" t="str">
        <f ca="1">IF(AJ32=AJ31,"","2.")</f>
        <v/>
      </c>
      <c r="AN32" s="358" t="str">
        <f ca="1">IF($AD31=2,AE31,IF($AD32=2,AE32,IF($AD33=2,AE33,AE34)))</f>
        <v>Oostenrijk</v>
      </c>
      <c r="AO32" s="359">
        <f ca="1">IF($AD31=2,AF31,IF($AD32=2,AF32,IF($AD33=2,AF33,AF34)))</f>
        <v>0</v>
      </c>
      <c r="AP32" s="359">
        <f ca="1">IF($AD31=2,AG31,IF($AD32=2,AG32,IF($AD33=2,AG33,AG34)))</f>
        <v>0</v>
      </c>
      <c r="AQ32" s="359">
        <f ca="1">IF($AD31=2,AH31,IF($AD32=2,AH32,IF($AD33=2,AH33,AH34)))</f>
        <v>0</v>
      </c>
    </row>
    <row r="33" spans="1:43" ht="20.100000000000001" customHeight="1" x14ac:dyDescent="0.25">
      <c r="B33" s="17"/>
      <c r="C33" s="1049"/>
      <c r="D33" s="1265" t="str">
        <f ca="1">IF($S$12=1,IF($AC$7=1,AB29,IF($AC$11=1,AC29,"")),IF(AND($S$12=2,OR($Y$33="LEEG",$Y$33="ONGELDIG")),IF($AC$7=1,AB29,IF($AC$11=1,AC29,"")),""))</f>
        <v/>
      </c>
      <c r="E33" s="1265"/>
      <c r="F33" s="1265"/>
      <c r="G33" s="1265"/>
      <c r="H33" s="1265"/>
      <c r="I33" s="1265"/>
      <c r="J33" s="17"/>
      <c r="K33" s="1265" t="str">
        <f ca="1">IF($S$12=1,IF($AC$7=1,AB34,IF($AC$11=1,AC34,"")),IF(AND($S$12=2,OR($Z$33="LEEG",$Z$33="ONGELDIG")),IF($AC$7=1,AB34,IF($AC$11=1,AC34,"")),""))</f>
        <v/>
      </c>
      <c r="L33" s="1265"/>
      <c r="M33" s="1265"/>
      <c r="N33" s="1265"/>
      <c r="O33" s="1265"/>
      <c r="P33" s="1265"/>
      <c r="Q33" s="61"/>
      <c r="R33" s="17"/>
      <c r="S33" s="112">
        <f>S32+1</f>
        <v>4</v>
      </c>
      <c r="T33" s="86" t="str">
        <f ca="1">VLOOKUP(V33,Voorblad!$X$67:$Z$98,2,FALSE)</f>
        <v>Oostenrijk</v>
      </c>
      <c r="U33" s="10" t="str">
        <f ca="1">VLOOKUP(V33,Voorblad!$X$67:$Z$98,3,FALSE)</f>
        <v>AT</v>
      </c>
      <c r="V33" s="302" t="str">
        <f ca="1">V30&amp;3</f>
        <v>D3</v>
      </c>
      <c r="W33" s="626" t="str">
        <f>"|"&amp;Taal02!C24&amp;"|"&amp;Taal02!D24&amp;"|"&amp;Taal02!E24&amp;"|"&amp;Taal02!F24&amp;"|"&amp;Taal02!G24&amp;"|"&amp;Taal02!H24&amp;"|"&amp;Taal02!I24&amp;"|"&amp;Taal02!J24&amp;"|"</f>
        <v>|Oostenrijk|Austria|Österreich|Österrike|||||</v>
      </c>
      <c r="X33" s="185" t="s">
        <v>224</v>
      </c>
      <c r="Y33" s="144" t="str">
        <f>IF(Y32=1, "LEEG",IF(AND(Y32&gt;1,Y32&lt;6,TYPE(Y26+Y28+Y30+Y32)=1),IF(OR(Y32=Y26,Y32=Y28,Y32=Y30),"DUBBEL","GOED"),"ONGELDIG"))</f>
        <v>LEEG</v>
      </c>
      <c r="Z33" s="144" t="str">
        <f>IF(Z32=1, "LEEG",IF(AND(Z32&gt;1,Z32&lt;6,TYPE(Z26+Z28+Z30+Z32)=1),IF(OR(Z32=Z26,Z32=Z28,Z32=Z30),"DUBBEL","GOED"),"ONGELDIG"))</f>
        <v>LEEG</v>
      </c>
      <c r="AA33" s="263" t="str">
        <f ca="1">RIGHT(V33,1)</f>
        <v>3</v>
      </c>
      <c r="AB33" s="265" t="e">
        <f>#REF!</f>
        <v>#REF!</v>
      </c>
      <c r="AC33" s="65" t="str">
        <f>Groepswedstrijden!AC78</f>
        <v/>
      </c>
      <c r="AD33" s="143">
        <f ca="1">IF($AC$7=1,VLOOKUP($V33,#REF!,20,FALSE),IF($AC$11=1,VLOOKUP($V33,Groepswedstrijden!$AH$12:$BA$78,20,FALSE),""))</f>
        <v>2</v>
      </c>
      <c r="AE33" s="177" t="str">
        <f ca="1">IF($AC$7=1,VLOOKUP($V33,#REF!,3,FALSE),IF($AC$11=1,VLOOKUP($V33,Groepswedstrijden!$AH$12:$BA$78,3,FALSE),""))</f>
        <v>Oostenrijk</v>
      </c>
      <c r="AF33" s="143">
        <f ca="1">IF($AC$7=1,VLOOKUP($V33,#REF!,9,FALSE),IF($AC$11=1,VLOOKUP($V33,Groepswedstrijden!$AH$12:$BA$78,9,FALSE),""))</f>
        <v>0</v>
      </c>
      <c r="AG33" s="143">
        <f ca="1">IF($AC$7=1,VLOOKUP($V33,#REF!,10,FALSE),IF($AC$11=1,VLOOKUP($V33,Groepswedstrijden!$AH$12:$BA$78,10,FALSE),""))</f>
        <v>0</v>
      </c>
      <c r="AH33" s="143">
        <f ca="1">IF($AC$7=1,VLOOKUP($V33,#REF!,11,FALSE),IF($AC$11=1,VLOOKUP($V33,Groepswedstrijden!$AH$12:$BA$78,11,FALSE),""))</f>
        <v>0</v>
      </c>
      <c r="AI33" s="203">
        <f ca="1">IF($AC$7=1,VLOOKUP($V33,#REF!,19,FALSE),IF($AC$11=1,VLOOKUP($V33,Groepswedstrijden!$AH$12:$BA$78,19,FALSE),""))</f>
        <v>5000003500003</v>
      </c>
      <c r="AJ33" s="208">
        <f ca="1">FLOOR(IF($AD31=3,AI31,IF($AD32=3,AI32,IF($AD33=3,AI33,AI34)))/10,1)</f>
        <v>500000350000</v>
      </c>
      <c r="AL33" s="1272"/>
      <c r="AM33" s="357" t="str">
        <f ca="1">IF(AJ33=AJ32,"","3.")</f>
        <v/>
      </c>
      <c r="AN33" s="358" t="str">
        <f ca="1">IF($AD31=3,AE31,IF($AD32=3,AE32,IF($AD33=3,AE33,AE34)))</f>
        <v>Nederland</v>
      </c>
      <c r="AO33" s="359">
        <f ca="1">IF($AD31=3,AF31,IF($AD32=3,AF32,IF($AD33=3,AF33,AF34)))</f>
        <v>0</v>
      </c>
      <c r="AP33" s="359">
        <f ca="1">IF($AD31=3,AG31,IF($AD32=3,AG32,IF($AD33=3,AG33,AG34)))</f>
        <v>0</v>
      </c>
      <c r="AQ33" s="359">
        <f ca="1">IF($AD31=3,AH31,IF($AD32=3,AH32,IF($AD33=3,AH33,AH34)))</f>
        <v>0</v>
      </c>
    </row>
    <row r="34" spans="1:43" ht="15" customHeight="1" x14ac:dyDescent="0.25">
      <c r="B34" s="17"/>
      <c r="C34" s="1049"/>
      <c r="D34" s="1269" t="str">
        <f ca="1">Taal04!$B$26&amp;" E"</f>
        <v>Groep E</v>
      </c>
      <c r="E34" s="1269"/>
      <c r="F34" s="17"/>
      <c r="G34" s="17"/>
      <c r="H34" s="17"/>
      <c r="I34" s="17"/>
      <c r="J34" s="17"/>
      <c r="K34" s="1269" t="str">
        <f ca="1">Taal04!$B$26&amp;" F"</f>
        <v>Groep F</v>
      </c>
      <c r="L34" s="1269"/>
      <c r="M34" s="17"/>
      <c r="N34" s="17"/>
      <c r="O34" s="17"/>
      <c r="P34" s="17"/>
      <c r="Q34" s="61"/>
      <c r="R34" s="17"/>
      <c r="S34" s="112">
        <f>S33+1</f>
        <v>5</v>
      </c>
      <c r="T34" s="137" t="str">
        <f ca="1">VLOOKUP(V34,Voorblad!$X$67:$Z$98,2,FALSE)</f>
        <v>Frankrijk</v>
      </c>
      <c r="U34" s="55" t="str">
        <f ca="1">VLOOKUP(V34,Voorblad!$X$67:$Z$98,3,FALSE)</f>
        <v>FR</v>
      </c>
      <c r="V34" s="305" t="str">
        <f ca="1">V30&amp;4</f>
        <v>D4</v>
      </c>
      <c r="W34" s="626" t="str">
        <f>"|"&amp;Taal02!C25&amp;"|"&amp;Taal02!D25&amp;"|"&amp;Taal02!E25&amp;"|"&amp;Taal02!F25&amp;"|"&amp;Taal02!G25&amp;"|"&amp;Taal02!H25&amp;"|"&amp;Taal02!I25&amp;"|"&amp;Taal02!J25&amp;"|"</f>
        <v>|Frankrijk|France|Frankreich|Frankrike|||||</v>
      </c>
      <c r="X34" s="185" t="s">
        <v>225</v>
      </c>
      <c r="Y34" s="439" t="str">
        <f>IF(TYPE(1*((Y26+Y28+Y30+Y32)&amp;(Y26*Y28*Y30*Y32)))=1,(Y26+Y28+Y30+Y32)&amp;(Y26*Y28*Y30*Y32),14120)</f>
        <v>41</v>
      </c>
      <c r="Z34" s="439" t="str">
        <f>IF(TYPE(1*((Z26+Z28+Z30+Z32)&amp;(Z26*Z28*Z30*Z32)))=1,(Z26+Z28+Z30+Z32)&amp;(Z26*Z28*Z30*Z32),14120)</f>
        <v>41</v>
      </c>
      <c r="AA34" s="263" t="str">
        <f ca="1">RIGHT(V34,1)</f>
        <v>4</v>
      </c>
      <c r="AB34" s="265" t="e">
        <f>#REF!</f>
        <v>#REF!</v>
      </c>
      <c r="AC34" s="65" t="str">
        <f>Groepswedstrijden!AC79</f>
        <v/>
      </c>
      <c r="AD34" s="143">
        <f ca="1">IF($AC$7=1,VLOOKUP($V34,#REF!,20,FALSE),IF($AC$11=1,VLOOKUP($V34,Groepswedstrijden!$AH$12:$BA$78,20,FALSE),""))</f>
        <v>4</v>
      </c>
      <c r="AE34" s="177" t="str">
        <f ca="1">IF($AC$7=1,VLOOKUP($V34,#REF!,3,FALSE),IF($AC$11=1,VLOOKUP($V34,Groepswedstrijden!$AH$12:$BA$78,3,FALSE),""))</f>
        <v>Frankrijk</v>
      </c>
      <c r="AF34" s="143">
        <f ca="1">IF($AC$7=1,VLOOKUP($V34,#REF!,9,FALSE),IF($AC$11=1,VLOOKUP($V34,Groepswedstrijden!$AH$12:$BA$78,9,FALSE),""))</f>
        <v>0</v>
      </c>
      <c r="AG34" s="143">
        <f ca="1">IF($AC$7=1,VLOOKUP($V34,#REF!,10,FALSE),IF($AC$11=1,VLOOKUP($V34,Groepswedstrijden!$AH$12:$BA$78,10,FALSE),""))</f>
        <v>0</v>
      </c>
      <c r="AH34" s="143">
        <f ca="1">IF($AC$7=1,VLOOKUP($V34,#REF!,11,FALSE),IF($AC$11=1,VLOOKUP($V34,Groepswedstrijden!$AH$12:$BA$78,11,FALSE),""))</f>
        <v>0</v>
      </c>
      <c r="AI34" s="203">
        <f ca="1">IF($AC$7=1,VLOOKUP($V34,#REF!,19,FALSE),IF($AC$11=1,VLOOKUP($V34,Groepswedstrijden!$AH$12:$BA$78,19,FALSE),""))</f>
        <v>5000003500001</v>
      </c>
      <c r="AJ34" s="208">
        <f ca="1">FLOOR(IF($AD31=4,AI31,IF($AD32=4,AI32,IF($AD33=4,AI33,AI34)))/10,1)</f>
        <v>500000350000</v>
      </c>
      <c r="AL34" s="1273"/>
      <c r="AM34" s="360" t="str">
        <f ca="1">IF(AJ34=AJ33,"","4.")</f>
        <v/>
      </c>
      <c r="AN34" s="361" t="str">
        <f ca="1">IF($AD31=4,AE31,IF($AD32=4,AE32,IF($AD33=4,AE33,AE34)))</f>
        <v>Frankrijk</v>
      </c>
      <c r="AO34" s="362">
        <f ca="1">IF($AD31=4,AF31,IF($AD32=4,AF32,IF($AD33=4,AF33,AF34)))</f>
        <v>0</v>
      </c>
      <c r="AP34" s="362">
        <f ca="1">IF($AD31=4,AG31,IF($AD32=4,AG32,IF($AD33=4,AG33,AG34)))</f>
        <v>0</v>
      </c>
      <c r="AQ34" s="362">
        <f ca="1">IF($AD31=4,AH31,IF($AD32=4,AH32,IF($AD33=4,AH33,AH34)))</f>
        <v>0</v>
      </c>
    </row>
    <row r="35" spans="1:43" ht="15" customHeight="1" x14ac:dyDescent="0.25">
      <c r="B35" s="17"/>
      <c r="C35" s="1049"/>
      <c r="D35" s="1270"/>
      <c r="E35" s="1270"/>
      <c r="F35" s="17"/>
      <c r="G35" s="17"/>
      <c r="H35" s="17"/>
      <c r="I35" s="17"/>
      <c r="J35" s="17"/>
      <c r="K35" s="1270"/>
      <c r="L35" s="1270"/>
      <c r="M35" s="17"/>
      <c r="N35" s="17"/>
      <c r="O35" s="17"/>
      <c r="P35" s="17"/>
      <c r="Q35" s="61"/>
      <c r="R35" s="17"/>
      <c r="S35" s="112">
        <v>1</v>
      </c>
      <c r="T35" s="136"/>
      <c r="U35" s="138"/>
      <c r="V35" s="299" t="str">
        <f ca="1">RIGHT(D34,1)</f>
        <v>E</v>
      </c>
      <c r="W35" s="625"/>
      <c r="X35" s="185" t="str">
        <f ca="1">"Deelnamecode "&amp;V35&amp;"/"&amp;V40</f>
        <v>Deelnamecode E/F</v>
      </c>
      <c r="Y35" s="152" t="str">
        <f>IF(AND(TYPE(Y36)=1,TYPE(Y38)=1,TYPE(Y40)=1,TYPE(Y42)=1),IF(AND(Y37="GOED",Y39="GOED",Y41="GOED",Y43="GOED"),LOOKUP(Y36,S36:S39,U36:U39)&amp;"."&amp;LOOKUP(Y38,S36:S39,U36:U39)&amp;"."&amp;LOOKUP(Y40,S36:S39,U36:U39)&amp;"."&amp;LOOKUP(Y42,S36:S39,U36:U39)&amp;"|","FOUT"),"ONGELDIG")</f>
        <v>FOUT</v>
      </c>
      <c r="Z35" s="152" t="str">
        <f>IF(AND(TYPE(Z36)=1,TYPE(Z38)=1,TYPE(Z40)=1,TYPE(Z42)=1),IF(AND(Z37="GOED",Z39="GOED",Z41="GOED",Z43="GOED"),LOOKUP(Z36,S41:S44,U41:U44)&amp;"."&amp;LOOKUP(Z38,S41:S44,U41:U44)&amp;"."&amp;LOOKUP(Z40,S41:S44,U41:U44)&amp;"."&amp;LOOKUP(Z42,S41:S44,U41:U44)&amp;"|","FOUT"),"ONGELDIG")</f>
        <v>FOUT</v>
      </c>
      <c r="AA35" s="65"/>
      <c r="AB35" s="264" t="str">
        <f ca="1">UPPER(Taal04!$B$26)&amp;" "&amp;V35</f>
        <v>GROEP E</v>
      </c>
      <c r="AC35" s="263" t="str">
        <f ca="1">AB35</f>
        <v>GROEP E</v>
      </c>
      <c r="AD35" s="143"/>
      <c r="AE35" s="178" t="str">
        <f ca="1">AB35</f>
        <v>GROEP E</v>
      </c>
      <c r="AF35" s="143"/>
      <c r="AG35" s="143"/>
      <c r="AH35" s="143"/>
      <c r="AI35" s="203"/>
      <c r="AJ35" s="207"/>
      <c r="AL35" s="639" t="str">
        <f ca="1">IF(AH7="JA","","└ "&amp;SUBSTITUTE(Taal04!B62,"#",RIGHT(AL31,1)))</f>
        <v>└ LET OP: niet alle wedstrijden in groep D zijn ingevuld.</v>
      </c>
    </row>
    <row r="36" spans="1:43" ht="15" customHeight="1" x14ac:dyDescent="0.25">
      <c r="B36" s="17"/>
      <c r="C36" s="1049"/>
      <c r="D36" s="353" t="s">
        <v>213</v>
      </c>
      <c r="E36" s="900"/>
      <c r="F36" s="624" t="str">
        <f>IF(Y37="LEEG","▼","")</f>
        <v>▼</v>
      </c>
      <c r="G36" s="17"/>
      <c r="H36" s="780"/>
      <c r="I36" s="780"/>
      <c r="J36" s="17"/>
      <c r="K36" s="353" t="s">
        <v>213</v>
      </c>
      <c r="L36" s="901"/>
      <c r="M36" s="624" t="str">
        <f>IF(Z37="LEEG","▼","")</f>
        <v>▼</v>
      </c>
      <c r="N36" s="17"/>
      <c r="O36" s="780"/>
      <c r="P36" s="780"/>
      <c r="Q36" s="61"/>
      <c r="R36" s="17"/>
      <c r="S36" s="112">
        <f>S35+1</f>
        <v>2</v>
      </c>
      <c r="T36" s="86" t="str">
        <f ca="1">VLOOKUP(V36,Voorblad!$X$67:$Z$98,2,FALSE)</f>
        <v>België</v>
      </c>
      <c r="U36" s="10" t="str">
        <f ca="1">VLOOKUP(V36,Voorblad!$X$67:$Z$98,3,FALSE)</f>
        <v>BE</v>
      </c>
      <c r="V36" s="302" t="str">
        <f ca="1">V35&amp;1</f>
        <v>E1</v>
      </c>
      <c r="W36" s="626" t="str">
        <f>"|"&amp;Taal02!C27&amp;"|"&amp;Taal02!D27&amp;"|"&amp;Taal02!E27&amp;"|"&amp;Taal02!F27&amp;"|"&amp;Taal02!G27&amp;"|"&amp;Taal02!H27&amp;"|"&amp;Taal02!I27&amp;"|"&amp;Taal02!J27&amp;"|"</f>
        <v>|België|Belgium|Belgien|Belgien|||||</v>
      </c>
      <c r="X36" s="185" t="s">
        <v>217</v>
      </c>
      <c r="Y36" s="144">
        <f>IF(ISBLANK(E36),1,IF(SUBSTITUTE(W36,E36,"#")&lt;&gt;W36,2,IF(SUBSTITUTE(W37,E36,"#")&lt;&gt;W37,3,IF(SUBSTITUTE(W38,E36,"#")&lt;&gt;W38,4,IF(SUBSTITUTE(W39,E36,"#")&lt;&gt;W39,5,6)))))</f>
        <v>1</v>
      </c>
      <c r="Z36" s="144">
        <f>IF(ISBLANK(L36),1,IF(SUBSTITUTE(W41,L36,"#")&lt;&gt;W41,2,IF(SUBSTITUTE(W42,L36,"#")&lt;&gt;W42,3,IF(SUBSTITUTE(W43,L36,"#")&lt;&gt;W43,4,IF(SUBSTITUTE(W44,L36,"#")&lt;&gt;W44,5,6)))))</f>
        <v>1</v>
      </c>
      <c r="AA36" s="263" t="str">
        <f ca="1">RIGHT(V36,1)</f>
        <v>1</v>
      </c>
      <c r="AB36" s="265" t="e">
        <f>#REF!</f>
        <v>#REF!</v>
      </c>
      <c r="AC36" s="65" t="str">
        <f>Groepswedstrijden!AD76</f>
        <v/>
      </c>
      <c r="AD36" s="143">
        <f ca="1">IF($AC$7=1,VLOOKUP($V36,#REF!,20,FALSE),IF($AC$11=1,VLOOKUP($V36,Groepswedstrijden!$AH$12:$BA$78,20,FALSE),""))</f>
        <v>4</v>
      </c>
      <c r="AE36" s="177" t="str">
        <f ca="1">IF($AC$7=1,VLOOKUP($V36,#REF!,3,FALSE),IF($AC$11=1,VLOOKUP($V36,Groepswedstrijden!$AH$12:$BA$78,3,FALSE),""))</f>
        <v>België</v>
      </c>
      <c r="AF36" s="143">
        <f ca="1">IF($AC$7=1,VLOOKUP($V36,#REF!,9,FALSE),IF($AC$11=1,VLOOKUP($V36,Groepswedstrijden!$AH$12:$BA$78,9,FALSE),""))</f>
        <v>0</v>
      </c>
      <c r="AG36" s="143">
        <f ca="1">IF($AC$7=1,VLOOKUP($V36,#REF!,10,FALSE),IF($AC$11=1,VLOOKUP($V36,Groepswedstrijden!$AH$12:$BA$78,10,FALSE),""))</f>
        <v>0</v>
      </c>
      <c r="AH36" s="143">
        <f ca="1">IF($AC$7=1,VLOOKUP($V36,#REF!,11,FALSE),IF($AC$11=1,VLOOKUP($V36,Groepswedstrijden!$AH$12:$BA$78,11,FALSE),""))</f>
        <v>0</v>
      </c>
      <c r="AI36" s="203">
        <f ca="1">IF($AC$7=1,VLOOKUP($V36,#REF!,19,FALSE),IF($AC$11=1,VLOOKUP($V36,Groepswedstrijden!$AH$12:$BA$78,19,FALSE),""))</f>
        <v>5000003500001</v>
      </c>
      <c r="AJ36" s="208">
        <f ca="1">FLOOR(IF($AD36=1,AI36,IF($AD37=1,AI37,IF($AD38=1,AI38,AI39)))/10,1)</f>
        <v>500000350000</v>
      </c>
      <c r="AL36" s="1271" t="str">
        <f ca="1">AE35</f>
        <v>GROEP E</v>
      </c>
      <c r="AM36" s="354" t="s">
        <v>65</v>
      </c>
      <c r="AN36" s="355" t="str">
        <f ca="1">IF($AD36=1,AE36,IF($AD37=1,AE37,IF($AD38=1,AE38,AE39)))</f>
        <v>Slowakije</v>
      </c>
      <c r="AO36" s="356">
        <f ca="1">IF($AD36=1,AF36,IF($AD37=1,AF37,IF($AD38=1,AF38,AF39)))</f>
        <v>0</v>
      </c>
      <c r="AP36" s="356">
        <f ca="1">IF($AD36=1,AG36,IF($AD37=1,AG37,IF($AD38=1,AG38,AG39)))</f>
        <v>0</v>
      </c>
      <c r="AQ36" s="356">
        <f ca="1">IF($AD36=1,AH36,IF($AD37=1,AH37,IF($AD38=1,AH38,AH39)))</f>
        <v>0</v>
      </c>
    </row>
    <row r="37" spans="1:43" ht="20.100000000000001" customHeight="1" x14ac:dyDescent="0.25">
      <c r="B37" s="17"/>
      <c r="C37" s="1049"/>
      <c r="D37" s="1265" t="str">
        <f ca="1">IF($S$12=1,IF($AC$7=1,AB36,IF($AC$11=1,AC36,"")),IF(AND($S$12=2,OR($Y$37="LEEG",$Y$37="ONGELDIG")),IF($AC$7=1,AB36,IF($AC$11=1,AC36,"")),""))</f>
        <v/>
      </c>
      <c r="E37" s="1265"/>
      <c r="F37" s="1265"/>
      <c r="G37" s="1265"/>
      <c r="H37" s="1265"/>
      <c r="I37" s="1265"/>
      <c r="J37" s="17"/>
      <c r="K37" s="1265" t="str">
        <f ca="1">IF($S$12=1,IF($AC$7=1,AB41,IF($AC$11=1,AC41,"")),IF(AND($S$12=2,OR($Z$37="LEEG",$Z$37="ONGELDIG")),IF($AC$7=1,AB41,IF($AC$11=1,AC41,"")),""))</f>
        <v/>
      </c>
      <c r="L37" s="1265"/>
      <c r="M37" s="1265"/>
      <c r="N37" s="1265"/>
      <c r="O37" s="1265"/>
      <c r="P37" s="1265"/>
      <c r="Q37" s="61"/>
      <c r="R37" s="17"/>
      <c r="S37" s="112">
        <f>S36+1</f>
        <v>3</v>
      </c>
      <c r="T37" s="86" t="str">
        <f ca="1">VLOOKUP(V37,Voorblad!$X$67:$Z$98,2,FALSE)</f>
        <v>Slowakije</v>
      </c>
      <c r="U37" s="10" t="str">
        <f ca="1">VLOOKUP(V37,Voorblad!$X$67:$Z$98,3,FALSE)</f>
        <v>SK</v>
      </c>
      <c r="V37" s="302" t="str">
        <f ca="1">V35&amp;2</f>
        <v>E2</v>
      </c>
      <c r="W37" s="626" t="str">
        <f>"|"&amp;Taal02!C28&amp;"|"&amp;Taal02!D28&amp;"|"&amp;Taal02!E28&amp;"|"&amp;Taal02!F28&amp;"|"&amp;Taal02!G28&amp;"|"&amp;Taal02!H28&amp;"|"&amp;Taal02!I28&amp;"|"&amp;Taal02!J28&amp;"|"</f>
        <v>|Slowakije|Slovakia|Slowakei|Slovakien|||||</v>
      </c>
      <c r="X37" s="185" t="s">
        <v>218</v>
      </c>
      <c r="Y37" s="144" t="str">
        <f>IF(Y36=1, "LEEG",IF(AND(Y36&gt;1,Y36&lt;6,TYPE(Y36+Y38+Y40+Y42)=1),IF(OR(Y36=Y38,Y36=Y40,Y36=Y42),"DUBBEL","GOED"),"ONGELDIG"))</f>
        <v>LEEG</v>
      </c>
      <c r="Z37" s="144" t="str">
        <f>IF(Z36=1, "LEEG",IF(AND(Z36&gt;1,Z36&lt;6,TYPE(Z36+Z38+Z40+Z42)=1),IF(OR(Z36=Z38,Z36=Z40,Z36=Z42),"DUBBEL","GOED"),"ONGELDIG"))</f>
        <v>LEEG</v>
      </c>
      <c r="AA37" s="263" t="str">
        <f ca="1">RIGHT(V37,1)</f>
        <v>2</v>
      </c>
      <c r="AB37" s="265" t="e">
        <f>#REF!</f>
        <v>#REF!</v>
      </c>
      <c r="AC37" s="65" t="str">
        <f>Groepswedstrijden!AD77</f>
        <v/>
      </c>
      <c r="AD37" s="143">
        <f ca="1">IF($AC$7=1,VLOOKUP($V37,#REF!,20,FALSE),IF($AC$11=1,VLOOKUP($V37,Groepswedstrijden!$AH$12:$BA$78,20,FALSE),""))</f>
        <v>1</v>
      </c>
      <c r="AE37" s="177" t="str">
        <f ca="1">IF($AC$7=1,VLOOKUP($V37,#REF!,3,FALSE),IF($AC$11=1,VLOOKUP($V37,Groepswedstrijden!$AH$12:$BA$78,3,FALSE),""))</f>
        <v>Slowakije</v>
      </c>
      <c r="AF37" s="143">
        <f ca="1">IF($AC$7=1,VLOOKUP($V37,#REF!,9,FALSE),IF($AC$11=1,VLOOKUP($V37,Groepswedstrijden!$AH$12:$BA$78,9,FALSE),""))</f>
        <v>0</v>
      </c>
      <c r="AG37" s="143">
        <f ca="1">IF($AC$7=1,VLOOKUP($V37,#REF!,10,FALSE),IF($AC$11=1,VLOOKUP($V37,Groepswedstrijden!$AH$12:$BA$78,10,FALSE),""))</f>
        <v>0</v>
      </c>
      <c r="AH37" s="143">
        <f ca="1">IF($AC$7=1,VLOOKUP($V37,#REF!,11,FALSE),IF($AC$11=1,VLOOKUP($V37,Groepswedstrijden!$AH$12:$BA$78,11,FALSE),""))</f>
        <v>0</v>
      </c>
      <c r="AI37" s="203">
        <f ca="1">IF($AC$7=1,VLOOKUP($V37,#REF!,19,FALSE),IF($AC$11=1,VLOOKUP($V37,Groepswedstrijden!$AH$12:$BA$78,19,FALSE),""))</f>
        <v>5000003500004</v>
      </c>
      <c r="AJ37" s="208">
        <f ca="1">FLOOR(IF($AD36=2,AI36,IF($AD37=2,AI37,IF($AD38=2,AI38,AI39)))/10,1)</f>
        <v>500000350000</v>
      </c>
      <c r="AL37" s="1272"/>
      <c r="AM37" s="357" t="str">
        <f ca="1">IF(AJ37=AJ36,"","2.")</f>
        <v/>
      </c>
      <c r="AN37" s="358" t="str">
        <f ca="1">IF($AD36=2,AE36,IF($AD37=2,AE37,IF($AD38=2,AE38,AE39)))</f>
        <v>Roemenië</v>
      </c>
      <c r="AO37" s="359">
        <f ca="1">IF($AD36=2,AF36,IF($AD37=2,AF37,IF($AD38=2,AF38,AF39)))</f>
        <v>0</v>
      </c>
      <c r="AP37" s="359">
        <f ca="1">IF($AD36=2,AG36,IF($AD37=2,AG37,IF($AD38=2,AG38,AG39)))</f>
        <v>0</v>
      </c>
      <c r="AQ37" s="359">
        <f ca="1">IF($AD36=2,AH36,IF($AD37=2,AH37,IF($AD38=2,AH38,AH39)))</f>
        <v>0</v>
      </c>
    </row>
    <row r="38" spans="1:43" ht="15" customHeight="1" x14ac:dyDescent="0.25">
      <c r="B38" s="17"/>
      <c r="C38" s="1049"/>
      <c r="D38" s="353" t="s">
        <v>214</v>
      </c>
      <c r="E38" s="900"/>
      <c r="F38" s="624" t="str">
        <f>IF(Y39="LEEG","▼","")</f>
        <v>▼</v>
      </c>
      <c r="G38" s="17"/>
      <c r="H38" s="17"/>
      <c r="I38" s="17"/>
      <c r="J38" s="17"/>
      <c r="K38" s="353" t="s">
        <v>214</v>
      </c>
      <c r="L38" s="901"/>
      <c r="M38" s="624" t="str">
        <f>IF(Z39="LEEG","▼","")</f>
        <v>▼</v>
      </c>
      <c r="N38" s="17"/>
      <c r="O38" s="17"/>
      <c r="P38" s="17"/>
      <c r="Q38" s="61"/>
      <c r="R38" s="17"/>
      <c r="S38" s="112">
        <f>S37+1</f>
        <v>4</v>
      </c>
      <c r="T38" s="86" t="str">
        <f ca="1">VLOOKUP(V38,Voorblad!$X$67:$Z$98,2,FALSE)</f>
        <v>Roemenië</v>
      </c>
      <c r="U38" s="10" t="str">
        <f ca="1">VLOOKUP(V38,Voorblad!$X$67:$Z$98,3,FALSE)</f>
        <v>RO</v>
      </c>
      <c r="V38" s="302" t="str">
        <f ca="1">V35&amp;3</f>
        <v>E3</v>
      </c>
      <c r="W38" s="626" t="str">
        <f>"|"&amp;Taal02!C29&amp;"|"&amp;Taal02!D29&amp;"|"&amp;Taal02!E29&amp;"|"&amp;Taal02!F29&amp;"|"&amp;Taal02!G29&amp;"|"&amp;Taal02!H29&amp;"|"&amp;Taal02!I29&amp;"|"&amp;Taal02!J29&amp;"|"</f>
        <v>|Roemenië|Romania|Rumänien|Rumänien|||||</v>
      </c>
      <c r="X38" s="185" t="s">
        <v>219</v>
      </c>
      <c r="Y38" s="144">
        <f>IF(ISBLANK(E38),1,IF(SUBSTITUTE(W36,E38,"#")&lt;&gt;W36,2,IF(SUBSTITUTE(W37,E38,"#")&lt;&gt;W37,3,IF(SUBSTITUTE(W38,E38,"#")&lt;&gt;W38,4,IF(SUBSTITUTE(W39,E38,"#")&lt;&gt;W39,5,6)))))</f>
        <v>1</v>
      </c>
      <c r="Z38" s="144">
        <f>IF(ISBLANK(L38),1,IF(SUBSTITUTE(W41,L38,"#")&lt;&gt;W41,2,IF(SUBSTITUTE(W42,L38,"#")&lt;&gt;W42,3,IF(SUBSTITUTE(W43,L38,"#")&lt;&gt;W43,4,IF(SUBSTITUTE(W44,L38,"#")&lt;&gt;W44,5,6)))))</f>
        <v>1</v>
      </c>
      <c r="AA38" s="263" t="str">
        <f ca="1">RIGHT(V38,1)</f>
        <v>3</v>
      </c>
      <c r="AB38" s="265" t="e">
        <f>#REF!</f>
        <v>#REF!</v>
      </c>
      <c r="AC38" s="65" t="str">
        <f>Groepswedstrijden!AD78</f>
        <v/>
      </c>
      <c r="AD38" s="143">
        <f ca="1">IF($AC$7=1,VLOOKUP($V38,#REF!,20,FALSE),IF($AC$11=1,VLOOKUP($V38,Groepswedstrijden!$AH$12:$BA$78,20,FALSE),""))</f>
        <v>2</v>
      </c>
      <c r="AE38" s="177" t="str">
        <f ca="1">IF($AC$7=1,VLOOKUP($V38,#REF!,3,FALSE),IF($AC$11=1,VLOOKUP($V38,Groepswedstrijden!$AH$12:$BA$78,3,FALSE),""))</f>
        <v>Roemenië</v>
      </c>
      <c r="AF38" s="143">
        <f ca="1">IF($AC$7=1,VLOOKUP($V38,#REF!,9,FALSE),IF($AC$11=1,VLOOKUP($V38,Groepswedstrijden!$AH$12:$BA$78,9,FALSE),""))</f>
        <v>0</v>
      </c>
      <c r="AG38" s="143">
        <f ca="1">IF($AC$7=1,VLOOKUP($V38,#REF!,10,FALSE),IF($AC$11=1,VLOOKUP($V38,Groepswedstrijden!$AH$12:$BA$78,10,FALSE),""))</f>
        <v>0</v>
      </c>
      <c r="AH38" s="143">
        <f ca="1">IF($AC$7=1,VLOOKUP($V38,#REF!,11,FALSE),IF($AC$11=1,VLOOKUP($V38,Groepswedstrijden!$AH$12:$BA$78,11,FALSE),""))</f>
        <v>0</v>
      </c>
      <c r="AI38" s="203">
        <f ca="1">IF($AC$7=1,VLOOKUP($V38,#REF!,19,FALSE),IF($AC$11=1,VLOOKUP($V38,Groepswedstrijden!$AH$12:$BA$78,19,FALSE),""))</f>
        <v>5000003500003</v>
      </c>
      <c r="AJ38" s="208">
        <f ca="1">FLOOR(IF($AD36=3,AI36,IF($AD37=3,AI37,IF($AD38=3,AI38,AI39)))/10,1)</f>
        <v>500000350000</v>
      </c>
      <c r="AL38" s="1272"/>
      <c r="AM38" s="357" t="str">
        <f ca="1">IF(AJ38=AJ37,"","3.")</f>
        <v/>
      </c>
      <c r="AN38" s="358" t="str">
        <f ca="1">IF($AD36=3,AE36,IF($AD37=3,AE37,IF($AD38=3,AE38,AE39)))</f>
        <v>Oekraïne</v>
      </c>
      <c r="AO38" s="359">
        <f ca="1">IF($AD36=3,AF36,IF($AD37=3,AF37,IF($AD38=3,AF38,AF39)))</f>
        <v>0</v>
      </c>
      <c r="AP38" s="359">
        <f ca="1">IF($AD36=3,AG36,IF($AD37=3,AG37,IF($AD38=3,AG38,AG39)))</f>
        <v>0</v>
      </c>
      <c r="AQ38" s="359">
        <f ca="1">IF($AD36=3,AH36,IF($AD37=3,AH37,IF($AD38=3,AH38,AH39)))</f>
        <v>0</v>
      </c>
    </row>
    <row r="39" spans="1:43" ht="20.100000000000001" customHeight="1" x14ac:dyDescent="0.25">
      <c r="B39" s="17"/>
      <c r="C39" s="1049"/>
      <c r="D39" s="1265" t="str">
        <f ca="1">IF($S$12=1,IF($AC$7=1,AB37,IF($AC$11=1,AC37,"")),IF(AND($S$12=2,OR($Y$39="LEEG",$Y$39="ONGELDIG")),IF($AC$7=1,AB37,IF($AC$11=1,AC37,"")),""))</f>
        <v/>
      </c>
      <c r="E39" s="1265"/>
      <c r="F39" s="1265"/>
      <c r="G39" s="1265"/>
      <c r="H39" s="1265"/>
      <c r="I39" s="1265"/>
      <c r="J39" s="17"/>
      <c r="K39" s="1265" t="str">
        <f ca="1">IF($S$12=1,IF($AC$7=1,AB42,IF($AC$11=1,AC42,"")),IF(AND($S$12=2,OR($Z$39="LEEG",$Z$39="ONGELDIG")),IF($AC$7=1,AB42,IF($AC$11=1,AC42,"")),""))</f>
        <v/>
      </c>
      <c r="L39" s="1265"/>
      <c r="M39" s="1265"/>
      <c r="N39" s="1265"/>
      <c r="O39" s="1265"/>
      <c r="P39" s="1265"/>
      <c r="Q39" s="61"/>
      <c r="R39" s="17"/>
      <c r="S39" s="112">
        <f>S38+1</f>
        <v>5</v>
      </c>
      <c r="T39" s="137" t="str">
        <f ca="1">VLOOKUP(V39,Voorblad!$X$67:$Z$98,2,FALSE)</f>
        <v>Oekraïne</v>
      </c>
      <c r="U39" s="55" t="str">
        <f ca="1">VLOOKUP(V39,Voorblad!$X$67:$Z$98,3,FALSE)</f>
        <v>UA</v>
      </c>
      <c r="V39" s="305" t="str">
        <f ca="1">V35&amp;4</f>
        <v>E4</v>
      </c>
      <c r="W39" s="626" t="str">
        <f>"|"&amp;Taal02!C30&amp;"|"&amp;Taal02!D30&amp;"|"&amp;Taal02!E30&amp;"|"&amp;Taal02!F30&amp;"|"&amp;Taal02!G30&amp;"|"&amp;Taal02!H30&amp;"|"&amp;Taal02!I30&amp;"|"&amp;Taal02!J30&amp;"|"</f>
        <v>|Oekraïne|Ukraine|Ukraine|Ukraina|||||</v>
      </c>
      <c r="X39" s="185" t="s">
        <v>220</v>
      </c>
      <c r="Y39" s="144" t="str">
        <f>IF(Y38=1, "LEEG",IF(AND(Y38&gt;1,Y38&lt;6,TYPE(Y36+Y38+Y40+Y42)=1),IF(OR(Y38=Y36,Y38=Y40,Y38=Y42),"DUBBEL","GOED"),"ONGELDIG"))</f>
        <v>LEEG</v>
      </c>
      <c r="Z39" s="144" t="str">
        <f>IF(Z38=1, "LEEG",IF(AND(Z38&gt;1,Z38&lt;6,TYPE(Z36+Z38+Z40+Z42)=1),IF(OR(Z38=Z36,Z38=Z40,Z38=Z42),"DUBBEL","GOED"),"ONGELDIG"))</f>
        <v>LEEG</v>
      </c>
      <c r="AA39" s="263" t="str">
        <f ca="1">RIGHT(V39,1)</f>
        <v>4</v>
      </c>
      <c r="AB39" s="265" t="e">
        <f>#REF!</f>
        <v>#REF!</v>
      </c>
      <c r="AC39" s="65" t="str">
        <f>Groepswedstrijden!AD79</f>
        <v/>
      </c>
      <c r="AD39" s="143">
        <f ca="1">IF($AC$7=1,VLOOKUP($V39,#REF!,20,FALSE),IF($AC$11=1,VLOOKUP($V39,Groepswedstrijden!$AH$12:$BA$78,20,FALSE),""))</f>
        <v>3</v>
      </c>
      <c r="AE39" s="177" t="str">
        <f ca="1">IF($AC$7=1,VLOOKUP($V39,#REF!,3,FALSE),IF($AC$11=1,VLOOKUP($V39,Groepswedstrijden!$AH$12:$BA$78,3,FALSE),""))</f>
        <v>Oekraïne</v>
      </c>
      <c r="AF39" s="143">
        <f ca="1">IF($AC$7=1,VLOOKUP($V39,#REF!,9,FALSE),IF($AC$11=1,VLOOKUP($V39,Groepswedstrijden!$AH$12:$BA$78,9,FALSE),""))</f>
        <v>0</v>
      </c>
      <c r="AG39" s="143">
        <f ca="1">IF($AC$7=1,VLOOKUP($V39,#REF!,10,FALSE),IF($AC$11=1,VLOOKUP($V39,Groepswedstrijden!$AH$12:$BA$78,10,FALSE),""))</f>
        <v>0</v>
      </c>
      <c r="AH39" s="143">
        <f ca="1">IF($AC$7=1,VLOOKUP($V39,#REF!,11,FALSE),IF($AC$11=1,VLOOKUP($V39,Groepswedstrijden!$AH$12:$BA$78,11,FALSE),""))</f>
        <v>0</v>
      </c>
      <c r="AI39" s="203">
        <f ca="1">IF($AC$7=1,VLOOKUP($V39,#REF!,19,FALSE),IF($AC$11=1,VLOOKUP($V39,Groepswedstrijden!$AH$12:$BA$78,19,FALSE),""))</f>
        <v>5000003500002</v>
      </c>
      <c r="AJ39" s="208">
        <f ca="1">FLOOR(IF($AD36=4,AI36,IF($AD37=4,AI37,IF($AD38=4,AI38,AI39)))/10,1)</f>
        <v>500000350000</v>
      </c>
      <c r="AL39" s="1273"/>
      <c r="AM39" s="360" t="str">
        <f ca="1">IF(AJ39=AJ38,"","4.")</f>
        <v/>
      </c>
      <c r="AN39" s="361" t="str">
        <f ca="1">IF($AD36=4,AE36,IF($AD37=4,AE37,IF($AD38=4,AE38,AE39)))</f>
        <v>België</v>
      </c>
      <c r="AO39" s="362">
        <f ca="1">IF($AD36=4,AF36,IF($AD37=4,AF37,IF($AD38=4,AF38,AF39)))</f>
        <v>0</v>
      </c>
      <c r="AP39" s="362">
        <f ca="1">IF($AD36=4,AG36,IF($AD37=4,AG37,IF($AD38=4,AG38,AG39)))</f>
        <v>0</v>
      </c>
      <c r="AQ39" s="362">
        <f ca="1">IF($AD36=4,AH36,IF($AD37=4,AH37,IF($AD38=4,AH38,AH39)))</f>
        <v>0</v>
      </c>
    </row>
    <row r="40" spans="1:43" ht="15" customHeight="1" x14ac:dyDescent="0.25">
      <c r="B40" s="17"/>
      <c r="C40" s="1049"/>
      <c r="D40" s="353" t="s">
        <v>215</v>
      </c>
      <c r="E40" s="900"/>
      <c r="F40" s="624" t="str">
        <f>IF(Y41="LEEG","▼","")</f>
        <v>▼</v>
      </c>
      <c r="G40" s="17"/>
      <c r="H40" s="17"/>
      <c r="I40" s="17"/>
      <c r="J40" s="17"/>
      <c r="K40" s="353" t="s">
        <v>215</v>
      </c>
      <c r="L40" s="901"/>
      <c r="M40" s="624" t="str">
        <f>IF(Z41="LEEG","▼","")</f>
        <v>▼</v>
      </c>
      <c r="N40" s="17"/>
      <c r="O40" s="17"/>
      <c r="P40" s="17"/>
      <c r="Q40" s="61"/>
      <c r="R40" s="17"/>
      <c r="S40" s="112">
        <v>1</v>
      </c>
      <c r="T40" s="136"/>
      <c r="U40" s="52"/>
      <c r="V40" s="299" t="str">
        <f ca="1">RIGHT(K34,1)</f>
        <v>F</v>
      </c>
      <c r="W40" s="625"/>
      <c r="X40" s="185" t="s">
        <v>221</v>
      </c>
      <c r="Y40" s="144">
        <f>IF(ISBLANK(E40),1,IF(SUBSTITUTE(W36,E40,"#")&lt;&gt;W36,2,IF(SUBSTITUTE(W37,E40,"#")&lt;&gt;W37,3,IF(SUBSTITUTE(W38,E40,"#")&lt;&gt;W38,4,IF(SUBSTITUTE(W39,E40,"#")&lt;&gt;W39,5,6)))))</f>
        <v>1</v>
      </c>
      <c r="Z40" s="144">
        <f>IF(ISBLANK(L40),1,IF(SUBSTITUTE(W41,L40,"#")&lt;&gt;W41,2,IF(SUBSTITUTE(W42,L40,"#")&lt;&gt;W42,3,IF(SUBSTITUTE(W43,L40,"#")&lt;&gt;W43,4,IF(SUBSTITUTE(W44,L40,"#")&lt;&gt;W44,5,6)))))</f>
        <v>1</v>
      </c>
      <c r="AA40" s="65"/>
      <c r="AB40" s="264" t="str">
        <f ca="1">UPPER(Taal04!$B$26)&amp;" "&amp;V40</f>
        <v>GROEP F</v>
      </c>
      <c r="AC40" s="263" t="str">
        <f ca="1">AB40</f>
        <v>GROEP F</v>
      </c>
      <c r="AD40" s="143"/>
      <c r="AE40" s="178" t="str">
        <f ca="1">AB40</f>
        <v>GROEP F</v>
      </c>
      <c r="AF40" s="143"/>
      <c r="AG40" s="143"/>
      <c r="AH40" s="143"/>
      <c r="AI40" s="203"/>
      <c r="AJ40" s="207"/>
      <c r="AL40" s="639" t="str">
        <f ca="1">IF(AF8="JA","","└ "&amp;SUBSTITUTE(Taal04!B62,"#",RIGHT(AL36,1)))</f>
        <v>└ LET OP: niet alle wedstrijden in groep E zijn ingevuld.</v>
      </c>
      <c r="AM40" s="638"/>
      <c r="AP40" s="640"/>
      <c r="AQ40" s="640"/>
    </row>
    <row r="41" spans="1:43" ht="20.100000000000001" customHeight="1" x14ac:dyDescent="0.25">
      <c r="B41" s="17"/>
      <c r="C41" s="1049"/>
      <c r="D41" s="1265" t="str">
        <f ca="1">IF($S$12=1,IF($AC$7=1,AB38,IF($AC$11=1,AC38,"")),IF(AND($S$12=2,OR($Y$41="LEEG",$Y$41="ONGELDIG")),IF($AC$7=1,AB38,IF($AC$11=1,AC38,"")),""))</f>
        <v/>
      </c>
      <c r="E41" s="1265"/>
      <c r="F41" s="1265"/>
      <c r="G41" s="1265"/>
      <c r="H41" s="1265"/>
      <c r="I41" s="1265"/>
      <c r="J41" s="17"/>
      <c r="K41" s="1265" t="str">
        <f ca="1">IF($S$12=1,IF($AC$7=1,AB43,IF($AC$11=1,AC43,"")),IF(AND($S$12=2,OR($Z$41="LEEG",$Z$41="ONGELDIG")),IF($AC$7=1,AB43,IF($AC$11=1,AC43,"")),""))</f>
        <v/>
      </c>
      <c r="L41" s="1265"/>
      <c r="M41" s="1265"/>
      <c r="N41" s="1265"/>
      <c r="O41" s="1265"/>
      <c r="P41" s="1265"/>
      <c r="Q41" s="61"/>
      <c r="R41" s="17"/>
      <c r="S41" s="112">
        <f>S40+1</f>
        <v>2</v>
      </c>
      <c r="T41" s="86" t="str">
        <f ca="1">VLOOKUP(V41,Voorblad!$X$67:$Z$98,2,FALSE)</f>
        <v>Turkije</v>
      </c>
      <c r="U41" s="10" t="str">
        <f ca="1">VLOOKUP(V41,Voorblad!$X$67:$Z$98,3,FALSE)</f>
        <v>TR</v>
      </c>
      <c r="V41" s="302" t="str">
        <f ca="1">V40&amp;1</f>
        <v>F1</v>
      </c>
      <c r="W41" s="626" t="str">
        <f>"|"&amp;Taal02!C32&amp;"|"&amp;Taal02!D32&amp;"|"&amp;Taal02!E32&amp;"|"&amp;Taal02!F32&amp;"|"&amp;Taal02!G32&amp;"|"&amp;Taal02!H32&amp;"|"&amp;Taal02!I32&amp;"|"&amp;Taal02!J32&amp;"|"</f>
        <v>|Turkije|Turkey|Türkei|Turkiet|||||</v>
      </c>
      <c r="X41" s="185" t="s">
        <v>222</v>
      </c>
      <c r="Y41" s="144" t="str">
        <f>IF(Y40=1, "LEEG",IF(AND(Y40&gt;1,Y40&lt;6,TYPE(Y36+Y38+Y40+Y42)=1),IF(OR(Y40=Y36,Y40=Y38,Y40=Y42),"DUBBEL","GOED"),"ONGELDIG"))</f>
        <v>LEEG</v>
      </c>
      <c r="Z41" s="144" t="str">
        <f>IF(Z40=1, "LEEG",IF(AND(Z40&gt;1,Z40&lt;6,TYPE(Z36+Z38+Z40+Z42)=1),IF(OR(Z40=Z36,Z40=Z38,Z40=Z42),"DUBBEL","GOED"),"ONGELDIG"))</f>
        <v>LEEG</v>
      </c>
      <c r="AA41" s="263" t="str">
        <f ca="1">RIGHT(V41,1)</f>
        <v>1</v>
      </c>
      <c r="AB41" s="265" t="e">
        <f>#REF!</f>
        <v>#REF!</v>
      </c>
      <c r="AC41" s="65" t="str">
        <f>Groepswedstrijden!AE76</f>
        <v/>
      </c>
      <c r="AD41" s="143">
        <f ca="1">IF($AC$7=1,VLOOKUP($V41,#REF!,20,FALSE),IF($AC$11=1,VLOOKUP($V41,Groepswedstrijden!$AH$12:$BA$78,20,FALSE),""))</f>
        <v>1</v>
      </c>
      <c r="AE41" s="177" t="str">
        <f ca="1">IF($AC$7=1,VLOOKUP($V41,#REF!,3,FALSE),IF($AC$11=1,VLOOKUP($V41,Groepswedstrijden!$AH$12:$BA$78,3,FALSE),""))</f>
        <v>Turkije</v>
      </c>
      <c r="AF41" s="143">
        <f ca="1">IF($AC$7=1,VLOOKUP($V41,#REF!,9,FALSE),IF($AC$11=1,VLOOKUP($V41,Groepswedstrijden!$AH$12:$BA$78,9,FALSE),""))</f>
        <v>0</v>
      </c>
      <c r="AG41" s="143">
        <f ca="1">IF($AC$7=1,VLOOKUP($V41,#REF!,10,FALSE),IF($AC$11=1,VLOOKUP($V41,Groepswedstrijden!$AH$12:$BA$78,10,FALSE),""))</f>
        <v>0</v>
      </c>
      <c r="AH41" s="143">
        <f ca="1">IF($AC$7=1,VLOOKUP($V41,#REF!,11,FALSE),IF($AC$11=1,VLOOKUP($V41,Groepswedstrijden!$AH$12:$BA$78,11,FALSE),""))</f>
        <v>0</v>
      </c>
      <c r="AI41" s="203">
        <f ca="1">IF($AC$7=1,VLOOKUP($V41,#REF!,19,FALSE),IF($AC$11=1,VLOOKUP($V41,Groepswedstrijden!$AH$12:$BA$78,19,FALSE),""))</f>
        <v>5000003500004</v>
      </c>
      <c r="AJ41" s="208">
        <f ca="1">FLOOR(IF($AD41=1,AI41,IF($AD42=1,AI42,IF($AD43=1,AI43,AI44)))/10,1)</f>
        <v>500000350000</v>
      </c>
      <c r="AL41" s="1271" t="str">
        <f ca="1">AE40</f>
        <v>GROEP F</v>
      </c>
      <c r="AM41" s="354" t="s">
        <v>65</v>
      </c>
      <c r="AN41" s="355" t="str">
        <f ca="1">IF($AD41=1,AE41,IF($AD42=1,AE42,IF($AD43=1,AE43,AE44)))</f>
        <v>Turkije</v>
      </c>
      <c r="AO41" s="356">
        <f ca="1">IF($AD41=1,AF41,IF($AD42=1,AF42,IF($AD43=1,AF43,AF44)))</f>
        <v>0</v>
      </c>
      <c r="AP41" s="356">
        <f ca="1">IF($AD41=1,AG41,IF($AD42=1,AG42,IF($AD43=1,AG43,AG44)))</f>
        <v>0</v>
      </c>
      <c r="AQ41" s="356">
        <f ca="1">IF($AD41=1,AH41,IF($AD42=1,AH42,IF($AD43=1,AH43,AH44)))</f>
        <v>0</v>
      </c>
    </row>
    <row r="42" spans="1:43" ht="15" customHeight="1" x14ac:dyDescent="0.25">
      <c r="B42" s="17"/>
      <c r="C42" s="1049"/>
      <c r="D42" s="353" t="s">
        <v>216</v>
      </c>
      <c r="E42" s="900"/>
      <c r="F42" s="624" t="str">
        <f>IF(Y43="LEEG","▼","")</f>
        <v>▼</v>
      </c>
      <c r="G42" s="17"/>
      <c r="H42" s="17"/>
      <c r="I42" s="17"/>
      <c r="J42" s="17"/>
      <c r="K42" s="353" t="s">
        <v>216</v>
      </c>
      <c r="L42" s="901"/>
      <c r="M42" s="624" t="str">
        <f>IF(Z43="LEEG","▼","")</f>
        <v>▼</v>
      </c>
      <c r="N42" s="17"/>
      <c r="O42" s="17"/>
      <c r="P42" s="17"/>
      <c r="Q42" s="61"/>
      <c r="R42" s="17"/>
      <c r="S42" s="112">
        <f>S41+1</f>
        <v>3</v>
      </c>
      <c r="T42" s="86" t="str">
        <f ca="1">VLOOKUP(V42,Voorblad!$X$67:$Z$98,2,FALSE)</f>
        <v>Georgië</v>
      </c>
      <c r="U42" s="10" t="str">
        <f ca="1">VLOOKUP(V42,Voorblad!$X$67:$Z$98,3,FALSE)</f>
        <v>GE</v>
      </c>
      <c r="V42" s="302" t="str">
        <f ca="1">V40&amp;2</f>
        <v>F2</v>
      </c>
      <c r="W42" s="626" t="str">
        <f>"|"&amp;Taal02!C33&amp;"|"&amp;Taal02!D33&amp;"|"&amp;Taal02!E33&amp;"|"&amp;Taal02!F33&amp;"|"&amp;Taal02!G33&amp;"|"&amp;Taal02!H33&amp;"|"&amp;Taal02!I33&amp;"|"&amp;Taal02!J33&amp;"|"</f>
        <v>|Georgië|Georgia|Georgien|Georgien|||||</v>
      </c>
      <c r="X42" s="185" t="s">
        <v>223</v>
      </c>
      <c r="Y42" s="144">
        <f>IF(ISBLANK(E42),1,IF(SUBSTITUTE(W36,E42,"#")&lt;&gt;W36,2,IF(SUBSTITUTE(W37,E42,"#")&lt;&gt;W37,3,IF(SUBSTITUTE(W38,E42,"#")&lt;&gt;W38,4,IF(SUBSTITUTE(W39,E42,"#")&lt;&gt;W39,5,6)))))</f>
        <v>1</v>
      </c>
      <c r="Z42" s="144">
        <f>IF(ISBLANK(L42),1,IF(SUBSTITUTE(W41,L42,"#")&lt;&gt;W41,2,IF(SUBSTITUTE(W42,L42,"#")&lt;&gt;W42,3,IF(SUBSTITUTE(W43,L42,"#")&lt;&gt;W43,4,IF(SUBSTITUTE(W44,L42,"#")&lt;&gt;W44,5,6)))))</f>
        <v>1</v>
      </c>
      <c r="AA42" s="263" t="str">
        <f ca="1">RIGHT(V42,1)</f>
        <v>2</v>
      </c>
      <c r="AB42" s="265" t="e">
        <f>#REF!</f>
        <v>#REF!</v>
      </c>
      <c r="AC42" s="65" t="str">
        <f>Groepswedstrijden!AE77</f>
        <v/>
      </c>
      <c r="AD42" s="143">
        <f ca="1">IF($AC$7=1,VLOOKUP($V42,#REF!,20,FALSE),IF($AC$11=1,VLOOKUP($V42,Groepswedstrijden!$AH$12:$BA$78,20,FALSE),""))</f>
        <v>4</v>
      </c>
      <c r="AE42" s="177" t="str">
        <f ca="1">IF($AC$7=1,VLOOKUP($V42,#REF!,3,FALSE),IF($AC$11=1,VLOOKUP($V42,Groepswedstrijden!$AH$12:$BA$78,3,FALSE),""))</f>
        <v>Georgië</v>
      </c>
      <c r="AF42" s="143">
        <f ca="1">IF($AC$7=1,VLOOKUP($V42,#REF!,9,FALSE),IF($AC$11=1,VLOOKUP($V42,Groepswedstrijden!$AH$12:$BA$78,9,FALSE),""))</f>
        <v>0</v>
      </c>
      <c r="AG42" s="143">
        <f ca="1">IF($AC$7=1,VLOOKUP($V42,#REF!,10,FALSE),IF($AC$11=1,VLOOKUP($V42,Groepswedstrijden!$AH$12:$BA$78,10,FALSE),""))</f>
        <v>0</v>
      </c>
      <c r="AH42" s="143">
        <f ca="1">IF($AC$7=1,VLOOKUP($V42,#REF!,11,FALSE),IF($AC$11=1,VLOOKUP($V42,Groepswedstrijden!$AH$12:$BA$78,11,FALSE),""))</f>
        <v>0</v>
      </c>
      <c r="AI42" s="203">
        <f ca="1">IF($AC$7=1,VLOOKUP($V42,#REF!,19,FALSE),IF($AC$11=1,VLOOKUP($V42,Groepswedstrijden!$AH$12:$BA$78,19,FALSE),""))</f>
        <v>5000003500001</v>
      </c>
      <c r="AJ42" s="208">
        <f ca="1">FLOOR(IF($AD41=2,AI41,IF($AD42=2,AI42,IF($AD43=2,AI43,AI44)))/10,1)</f>
        <v>500000350000</v>
      </c>
      <c r="AL42" s="1272"/>
      <c r="AM42" s="357" t="str">
        <f ca="1">IF(AJ42=AJ41,"","2.")</f>
        <v/>
      </c>
      <c r="AN42" s="358" t="str">
        <f ca="1">IF($AD41=2,AE41,IF($AD42=2,AE42,IF($AD43=2,AE43,AE44)))</f>
        <v>Tsjechië</v>
      </c>
      <c r="AO42" s="359">
        <f ca="1">IF($AD41=2,AF41,IF($AD42=2,AF42,IF($AD43=2,AF43,AF44)))</f>
        <v>0</v>
      </c>
      <c r="AP42" s="359">
        <f ca="1">IF($AD41=2,AG41,IF($AD42=2,AG42,IF($AD43=2,AG43,AG44)))</f>
        <v>0</v>
      </c>
      <c r="AQ42" s="359">
        <f ca="1">IF($AD41=2,AH41,IF($AD42=2,AH42,IF($AD43=2,AH43,AH44)))</f>
        <v>0</v>
      </c>
    </row>
    <row r="43" spans="1:43" ht="20.100000000000001" customHeight="1" x14ac:dyDescent="0.25">
      <c r="B43" s="17"/>
      <c r="C43" s="1049"/>
      <c r="D43" s="1265" t="str">
        <f ca="1">IF($S$12=1,IF($AC$7=1,AB39,IF($AC$11=1,AC39,"")),IF(AND($S$12=2,OR($Y$43="LEEG",$Y$43="ONGELDIG")),IF($AC$7=1,AB39,IF($AC$11=1,AC39,"")),""))</f>
        <v/>
      </c>
      <c r="E43" s="1265"/>
      <c r="F43" s="1265"/>
      <c r="G43" s="1265"/>
      <c r="H43" s="1265"/>
      <c r="I43" s="1265"/>
      <c r="J43" s="17"/>
      <c r="K43" s="1265" t="str">
        <f ca="1">IF($S$12=1,IF($AC$7=1,AB44,IF($AC$11=1,AC44,"")),IF(AND($S$12=2,OR($Z$43="LEEG",$Z$43="ONGELDIG")),IF($AC$7=1,AB44,IF($AC$11=1,AC44,"")),""))</f>
        <v/>
      </c>
      <c r="L43" s="1265"/>
      <c r="M43" s="1265"/>
      <c r="N43" s="1265"/>
      <c r="O43" s="1265"/>
      <c r="P43" s="1265"/>
      <c r="Q43" s="61"/>
      <c r="R43" s="17"/>
      <c r="S43" s="112">
        <f>S42+1</f>
        <v>4</v>
      </c>
      <c r="T43" s="86" t="str">
        <f ca="1">VLOOKUP(V43,Voorblad!$X$67:$Z$98,2,FALSE)</f>
        <v>Portugal</v>
      </c>
      <c r="U43" s="10" t="str">
        <f ca="1">VLOOKUP(V43,Voorblad!$X$67:$Z$98,3,FALSE)</f>
        <v>PT</v>
      </c>
      <c r="V43" s="302" t="str">
        <f ca="1">V40&amp;3</f>
        <v>F3</v>
      </c>
      <c r="W43" s="626" t="str">
        <f>"|"&amp;Taal02!C34&amp;"|"&amp;Taal02!D34&amp;"|"&amp;Taal02!E34&amp;"|"&amp;Taal02!F34&amp;"|"&amp;Taal02!G34&amp;"|"&amp;Taal02!H34&amp;"|"&amp;Taal02!I34&amp;"|"&amp;Taal02!J34&amp;"|"</f>
        <v>|Portugal|Portugal|Portugal|Portugal|||||</v>
      </c>
      <c r="X43" s="185" t="s">
        <v>224</v>
      </c>
      <c r="Y43" s="144" t="str">
        <f>IF(Y42=1, "LEEG",IF(AND(Y42&gt;1,Y42&lt;6,TYPE(Y36+Y38+Y40+Y42)=1),IF(OR(Y42=Y36,Y42=Y38,Y42=Y40),"DUBBEL","GOED"),"ONGELDIG"))</f>
        <v>LEEG</v>
      </c>
      <c r="Z43" s="144" t="str">
        <f>IF(Z42=1, "LEEG",IF(AND(Z42&gt;1,Z42&lt;6,TYPE(Z36+Z38+Z40+Z42)=1),IF(OR(Z42=Z36,Z42=Z38,Z42=Z40),"DUBBEL","GOED"),"ONGELDIG"))</f>
        <v>LEEG</v>
      </c>
      <c r="AA43" s="263" t="str">
        <f ca="1">RIGHT(V43,1)</f>
        <v>3</v>
      </c>
      <c r="AB43" s="265" t="e">
        <f>#REF!</f>
        <v>#REF!</v>
      </c>
      <c r="AC43" s="65" t="str">
        <f>Groepswedstrijden!AE78</f>
        <v/>
      </c>
      <c r="AD43" s="143">
        <f ca="1">IF($AC$7=1,VLOOKUP($V43,#REF!,20,FALSE),IF($AC$11=1,VLOOKUP($V43,Groepswedstrijden!$AH$12:$BA$78,20,FALSE),""))</f>
        <v>3</v>
      </c>
      <c r="AE43" s="177" t="str">
        <f ca="1">IF($AC$7=1,VLOOKUP($V43,#REF!,3,FALSE),IF($AC$11=1,VLOOKUP($V43,Groepswedstrijden!$AH$12:$BA$78,3,FALSE),""))</f>
        <v>Portugal</v>
      </c>
      <c r="AF43" s="143">
        <f ca="1">IF($AC$7=1,VLOOKUP($V43,#REF!,9,FALSE),IF($AC$11=1,VLOOKUP($V43,Groepswedstrijden!$AH$12:$BA$78,9,FALSE),""))</f>
        <v>0</v>
      </c>
      <c r="AG43" s="143">
        <f ca="1">IF($AC$7=1,VLOOKUP($V43,#REF!,10,FALSE),IF($AC$11=1,VLOOKUP($V43,Groepswedstrijden!$AH$12:$BA$78,10,FALSE),""))</f>
        <v>0</v>
      </c>
      <c r="AH43" s="143">
        <f ca="1">IF($AC$7=1,VLOOKUP($V43,#REF!,11,FALSE),IF($AC$11=1,VLOOKUP($V43,Groepswedstrijden!$AH$12:$BA$78,11,FALSE),""))</f>
        <v>0</v>
      </c>
      <c r="AI43" s="203">
        <f ca="1">IF($AC$7=1,VLOOKUP($V43,#REF!,19,FALSE),IF($AC$11=1,VLOOKUP($V43,Groepswedstrijden!$AH$12:$BA$78,19,FALSE),""))</f>
        <v>5000003500002</v>
      </c>
      <c r="AJ43" s="208">
        <f ca="1">FLOOR(IF($AD41=3,AI41,IF($AD42=3,AI42,IF($AD43=3,AI43,AI44)))/10,1)</f>
        <v>500000350000</v>
      </c>
      <c r="AL43" s="1272"/>
      <c r="AM43" s="357" t="str">
        <f ca="1">IF(AJ43=AJ42,"","3.")</f>
        <v/>
      </c>
      <c r="AN43" s="358" t="str">
        <f ca="1">IF($AD41=3,AE41,IF($AD42=3,AE42,IF($AD43=3,AE43,AE44)))</f>
        <v>Portugal</v>
      </c>
      <c r="AO43" s="359">
        <f ca="1">IF($AD41=3,AF41,IF($AD42=3,AF42,IF($AD43=3,AF43,AF44)))</f>
        <v>0</v>
      </c>
      <c r="AP43" s="359">
        <f ca="1">IF($AD41=3,AG41,IF($AD42=3,AG42,IF($AD43=3,AG43,AG44)))</f>
        <v>0</v>
      </c>
      <c r="AQ43" s="359">
        <f ca="1">IF($AD41=3,AH41,IF($AD42=3,AH42,IF($AD43=3,AH43,AH44)))</f>
        <v>0</v>
      </c>
    </row>
    <row r="44" spans="1:43" ht="15" customHeight="1" x14ac:dyDescent="0.25">
      <c r="B44" s="17"/>
      <c r="C44" s="1049"/>
      <c r="D44" s="1269" t="str">
        <f>IF(A45="H","",Taal04!$B$26&amp;" G")</f>
        <v/>
      </c>
      <c r="E44" s="1269"/>
      <c r="F44" s="401"/>
      <c r="G44" s="401"/>
      <c r="H44" s="401"/>
      <c r="I44" s="401"/>
      <c r="J44" s="401"/>
      <c r="K44" s="1269" t="str">
        <f>IF(A45="H","",Taal04!$B$26&amp;" H")</f>
        <v/>
      </c>
      <c r="L44" s="1269"/>
      <c r="M44" s="401"/>
      <c r="N44" s="401"/>
      <c r="O44" s="401"/>
      <c r="P44" s="401"/>
      <c r="Q44" s="61"/>
      <c r="R44" s="17"/>
      <c r="S44" s="112">
        <f>S43+1</f>
        <v>5</v>
      </c>
      <c r="T44" s="137" t="str">
        <f ca="1">VLOOKUP(V44,Voorblad!$X$67:$Z$98,2,FALSE)</f>
        <v>Tsjechië</v>
      </c>
      <c r="U44" s="55" t="str">
        <f ca="1">VLOOKUP(V44,Voorblad!$X$67:$Z$98,3,FALSE)</f>
        <v>CZ</v>
      </c>
      <c r="V44" s="305" t="str">
        <f ca="1">V40&amp;4</f>
        <v>F4</v>
      </c>
      <c r="W44" s="626" t="str">
        <f>"|"&amp;Taal02!C35&amp;"|"&amp;Taal02!D35&amp;"|"&amp;Taal02!E35&amp;"|"&amp;Taal02!F35&amp;"|"&amp;Taal02!G35&amp;"|"&amp;Taal02!H35&amp;"|"&amp;Taal02!I35&amp;"|"&amp;Taal02!J35&amp;"|"</f>
        <v>|Tsjechië|Czech Republic|Tschechische Republik|Tjeckien|||||</v>
      </c>
      <c r="X44" s="185" t="s">
        <v>225</v>
      </c>
      <c r="Y44" s="439" t="str">
        <f>IF(TYPE(1*((Y36+Y38+Y40+Y42)&amp;(Y36*Y38*Y40*Y42)))=1,(Y36+Y38+Y40+Y42)&amp;(Y36*Y38*Y40*Y42),14120)</f>
        <v>41</v>
      </c>
      <c r="Z44" s="439" t="str">
        <f>IF(TYPE(1*((Z36+Z38+Z40+Z42)&amp;(Z36*Z38*Z40*Z42)))=1,(Z36+Z38+Z40+Z42)&amp;(Z36*Z38*Z40*Z42),14120)</f>
        <v>41</v>
      </c>
      <c r="AA44" s="263" t="str">
        <f ca="1">RIGHT(V44,1)</f>
        <v>4</v>
      </c>
      <c r="AB44" s="265" t="e">
        <f>#REF!</f>
        <v>#REF!</v>
      </c>
      <c r="AC44" s="65" t="str">
        <f>Groepswedstrijden!AE79</f>
        <v/>
      </c>
      <c r="AD44" s="143">
        <f ca="1">IF($AC$7=1,VLOOKUP($V44,#REF!,20,FALSE),IF($AC$11=1,VLOOKUP($V44,Groepswedstrijden!$AH$12:$BA$78,20,FALSE),""))</f>
        <v>2</v>
      </c>
      <c r="AE44" s="177" t="str">
        <f ca="1">IF($AC$7=1,VLOOKUP($V44,#REF!,3,FALSE),IF($AC$11=1,VLOOKUP($V44,Groepswedstrijden!$AH$12:$BA$78,3,FALSE),""))</f>
        <v>Tsjechië</v>
      </c>
      <c r="AF44" s="143">
        <f ca="1">IF($AC$7=1,VLOOKUP($V44,#REF!,9,FALSE),IF($AC$11=1,VLOOKUP($V44,Groepswedstrijden!$AH$12:$BA$78,9,FALSE),""))</f>
        <v>0</v>
      </c>
      <c r="AG44" s="143">
        <f ca="1">IF($AC$7=1,VLOOKUP($V44,#REF!,10,FALSE),IF($AC$11=1,VLOOKUP($V44,Groepswedstrijden!$AH$12:$BA$78,10,FALSE),""))</f>
        <v>0</v>
      </c>
      <c r="AH44" s="143">
        <f ca="1">IF($AC$7=1,VLOOKUP($V44,#REF!,11,FALSE),IF($AC$11=1,VLOOKUP($V44,Groepswedstrijden!$AH$12:$BA$78,11,FALSE),""))</f>
        <v>0</v>
      </c>
      <c r="AI44" s="203">
        <f ca="1">IF($AC$7=1,VLOOKUP($V44,#REF!,19,FALSE),IF($AC$11=1,VLOOKUP($V44,Groepswedstrijden!$AH$12:$BA$78,19,FALSE),""))</f>
        <v>5000003500003</v>
      </c>
      <c r="AJ44" s="208">
        <f ca="1">FLOOR(IF($AD41=4,AI41,IF($AD42=4,AI42,IF($AD43=4,AI43,AI44)))/10,1)</f>
        <v>500000350000</v>
      </c>
      <c r="AL44" s="1273"/>
      <c r="AM44" s="360" t="str">
        <f ca="1">IF(AJ44=AJ43,"","4.")</f>
        <v/>
      </c>
      <c r="AN44" s="361" t="str">
        <f ca="1">IF($AD41=4,AE41,IF($AD42=4,AE42,IF($AD43=4,AE43,AE44)))</f>
        <v>Georgië</v>
      </c>
      <c r="AO44" s="362">
        <f ca="1">IF($AD41=4,AF41,IF($AD42=4,AF42,IF($AD43=4,AF43,AF44)))</f>
        <v>0</v>
      </c>
      <c r="AP44" s="362">
        <f ca="1">IF($AD41=4,AG41,IF($AD42=4,AG42,IF($AD43=4,AG43,AG44)))</f>
        <v>0</v>
      </c>
      <c r="AQ44" s="362">
        <f ca="1">IF($AD41=4,AH41,IF($AD42=4,AH42,IF($AD43=4,AH43,AH44)))</f>
        <v>0</v>
      </c>
    </row>
    <row r="45" spans="1:43" ht="15" hidden="1" customHeight="1" x14ac:dyDescent="0.25">
      <c r="A45" s="113" t="s">
        <v>170</v>
      </c>
      <c r="B45" s="17"/>
      <c r="C45" s="1049"/>
      <c r="D45" s="1270"/>
      <c r="E45" s="1270"/>
      <c r="F45" s="401"/>
      <c r="G45" s="401"/>
      <c r="H45" s="401"/>
      <c r="I45" s="401"/>
      <c r="J45" s="401"/>
      <c r="K45" s="1270"/>
      <c r="L45" s="1270"/>
      <c r="M45" s="401"/>
      <c r="N45" s="401"/>
      <c r="O45" s="401"/>
      <c r="P45" s="401"/>
      <c r="Q45" s="61"/>
      <c r="R45" s="17"/>
      <c r="S45" s="377">
        <v>1</v>
      </c>
      <c r="T45" s="297"/>
      <c r="U45" s="298"/>
      <c r="V45" s="299" t="str">
        <f>IF(A45="H","G",RIGHT(D44,1))</f>
        <v>G</v>
      </c>
      <c r="W45" s="625"/>
      <c r="X45" s="521" t="str">
        <f>"Deelnamecode "&amp;V45&amp;"/"&amp;V50</f>
        <v>Deelnamecode G/H</v>
      </c>
      <c r="Y45" s="182" t="str">
        <f>IF(AND(TYPE(Y46)=1,TYPE(Y48)=1,TYPE(Y50)=1,TYPE(Y52)=1),IF(AND(Y47="GOED",Y49="GOED",Y51="GOED",Y53="GOED"),LOOKUP(Y46,S46:S49,U46:U49)&amp;"."&amp;LOOKUP(Y48,S46:S49,U46:U49)&amp;"."&amp;LOOKUP(Y50,S46:S49,U46:U49)&amp;"."&amp;LOOKUP(Y52,S46:S49,U46:U49)&amp;"|","FOUT"),"ONGELDIG")</f>
        <v>FOUT</v>
      </c>
      <c r="Z45" s="182" t="str">
        <f>IF(AND(TYPE(Z46)=1,TYPE(Z48)=1,TYPE(Z50)=1,TYPE(Z52)=1),IF(AND(Z47="GOED",Z49="GOED",Z51="GOED",Z53="GOED"),LOOKUP(Z46,S51:S54,U51:U54)&amp;"."&amp;LOOKUP(Z48,S51:S54,U51:U54)&amp;"."&amp;LOOKUP(Z50,S51:S54,U51:U54)&amp;"."&amp;LOOKUP(Z52,S51:S54,U51:U54)&amp;"|","FOUT"),"ONGELDIG")</f>
        <v>FOUT</v>
      </c>
      <c r="AA45" s="469"/>
      <c r="AB45" s="468" t="str">
        <f ca="1">UPPER(Taal04!$B$26)&amp;" "&amp;V45</f>
        <v>GROEP G</v>
      </c>
      <c r="AC45" s="514" t="str">
        <f ca="1">AB45</f>
        <v>GROEP G</v>
      </c>
      <c r="AD45" s="515"/>
      <c r="AE45" s="516" t="str">
        <f ca="1">AB45</f>
        <v>GROEP G</v>
      </c>
      <c r="AF45" s="515"/>
      <c r="AG45" s="515"/>
      <c r="AH45" s="515"/>
      <c r="AI45" s="517"/>
      <c r="AJ45" s="518"/>
      <c r="AL45" s="639" t="str">
        <f ca="1">IF(AH8="JA","","└ "&amp;SUBSTITUTE(Taal04!B62,"#",RIGHT(AL41,1)))</f>
        <v>└ LET OP: niet alle wedstrijden in groep F zijn ingevuld.</v>
      </c>
    </row>
    <row r="46" spans="1:43" ht="15" hidden="1" customHeight="1" x14ac:dyDescent="0.25">
      <c r="A46" s="613" t="str">
        <f>IF(A45="H","H","")</f>
        <v>H</v>
      </c>
      <c r="B46" s="17"/>
      <c r="C46" s="1049"/>
      <c r="D46" s="353" t="s">
        <v>213</v>
      </c>
      <c r="E46" s="900"/>
      <c r="F46" s="624" t="str">
        <f>IF(Y47="LEEG","▼","")</f>
        <v/>
      </c>
      <c r="G46" s="17"/>
      <c r="H46" s="780"/>
      <c r="I46" s="780"/>
      <c r="J46" s="17"/>
      <c r="K46" s="353" t="s">
        <v>213</v>
      </c>
      <c r="L46" s="901"/>
      <c r="M46" s="624" t="str">
        <f>IF(Z47="LEEG","▼","")</f>
        <v/>
      </c>
      <c r="N46" s="17"/>
      <c r="O46" s="780"/>
      <c r="P46" s="780"/>
      <c r="Q46" s="61"/>
      <c r="R46" s="17"/>
      <c r="S46" s="377">
        <f>S45+1</f>
        <v>2</v>
      </c>
      <c r="T46" s="301" t="str">
        <f ca="1">VLOOKUP(V46,Voorblad!$X$67:$Z$98,2,FALSE)</f>
        <v>ZZZ_land_G1</v>
      </c>
      <c r="U46" s="219" t="str">
        <f>VLOOKUP(V46,Voorblad!$X$67:$Z$98,3,FALSE)</f>
        <v>ZA</v>
      </c>
      <c r="V46" s="302" t="str">
        <f>V45&amp;1</f>
        <v>G1</v>
      </c>
      <c r="W46" s="626" t="str">
        <f>"|"&amp;Taal02!C37&amp;"|"&amp;Taal02!D37&amp;"|"&amp;Taal02!E37&amp;"|"&amp;Taal02!F37&amp;"|"&amp;Taal02!G37&amp;"|"&amp;Taal02!H37&amp;"|"&amp;Taal02!I37&amp;"|"&amp;Taal02!J37&amp;"|"</f>
        <v>|ZZZ_land_G1|ZZZ_land_G1|ZZZ_land_G1|ZZZ_land_G1|||||</v>
      </c>
      <c r="X46" s="521" t="s">
        <v>217</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514" t="str">
        <f>RIGHT(V46,1)</f>
        <v>1</v>
      </c>
      <c r="AB46" s="470" t="e">
        <f>#REF!</f>
        <v>#REF!</v>
      </c>
      <c r="AC46" s="469" t="str">
        <f>Groepswedstrijden!AF76</f>
        <v/>
      </c>
      <c r="AD46" s="515">
        <f ca="1">IF($AC$7=1,VLOOKUP($V46,#REF!,20,FALSE),IF($AC$11=1,VLOOKUP($V46,Groepswedstrijden!$AH$12:$BA$78,20,FALSE),""))</f>
        <v>4</v>
      </c>
      <c r="AE46" s="519" t="str">
        <f ca="1">IF($AC$7=1,VLOOKUP($V46,#REF!,3,FALSE),IF($AC$11=1,VLOOKUP($V46,Groepswedstrijden!$AH$12:$BA$78,3,FALSE),""))</f>
        <v>ZZZ_land_G1</v>
      </c>
      <c r="AF46" s="515">
        <f ca="1">IF($AC$7=1,VLOOKUP($V46,#REF!,9,FALSE),IF($AC$11=1,VLOOKUP($V46,Groepswedstrijden!$AH$12:$BA$78,9,FALSE),""))</f>
        <v>0</v>
      </c>
      <c r="AG46" s="515">
        <f ca="1">IF($AC$7=1,VLOOKUP($V46,#REF!,10,FALSE),IF($AC$11=1,VLOOKUP($V46,Groepswedstrijden!$AH$12:$BA$78,10,FALSE),""))</f>
        <v>0</v>
      </c>
      <c r="AH46" s="515">
        <f ca="1">IF($AC$7=1,VLOOKUP($V46,#REF!,11,FALSE),IF($AC$11=1,VLOOKUP($V46,Groepswedstrijden!$AH$12:$BA$78,11,FALSE),""))</f>
        <v>0</v>
      </c>
      <c r="AI46" s="517">
        <f ca="1">IF($AC$7=1,VLOOKUP($V46,#REF!,19,FALSE),IF($AC$11=1,VLOOKUP($V46,Groepswedstrijden!$AH$12:$BA$78,19,FALSE),""))</f>
        <v>5000003500001</v>
      </c>
      <c r="AJ46" s="520">
        <f ca="1">FLOOR(IF($AD46=1,AI46,IF($AD47=1,AI47,IF($AD48=1,AI48,AI49)))/10,1)</f>
        <v>500000350000</v>
      </c>
      <c r="AL46" s="1271" t="str">
        <f ca="1">AE45</f>
        <v>GROEP G</v>
      </c>
      <c r="AM46" s="354" t="s">
        <v>65</v>
      </c>
      <c r="AN46" s="355" t="str">
        <f ca="1">IF($AD46=1,AE46,IF($AD47=1,AE47,IF($AD48=1,AE48,AE49)))</f>
        <v>ZZZ_land_G4</v>
      </c>
      <c r="AO46" s="356">
        <f ca="1">IF($AD46=1,AF46,IF($AD47=1,AF47,IF($AD48=1,AF48,AF49)))</f>
        <v>0</v>
      </c>
      <c r="AP46" s="356">
        <f ca="1">IF($AD46=1,AG46,IF($AD47=1,AG47,IF($AD48=1,AG48,AG49)))</f>
        <v>0</v>
      </c>
      <c r="AQ46" s="356">
        <f ca="1">IF($AD46=1,AH46,IF($AD47=1,AH47,IF($AD48=1,AH48,AH49)))</f>
        <v>0</v>
      </c>
    </row>
    <row r="47" spans="1:43" ht="20.100000000000001" hidden="1" customHeight="1" x14ac:dyDescent="0.25">
      <c r="A47" s="613" t="str">
        <f t="shared" ref="A47:A54" si="0">IF(A46="H","H","")</f>
        <v>H</v>
      </c>
      <c r="B47" s="17"/>
      <c r="C47" s="1049"/>
      <c r="D47" s="1265" t="str">
        <f ca="1">IF($S$12=1,IF($AC$7=1,AB46,IF($AC$11=1,AC46,"")),IF(AND($S$12=2,OR($Y$47="LEEG",$Y$47="ONGELDIG")),IF($AC$7=1,AB46,IF($AC$11=1,AC46,"")),""))</f>
        <v/>
      </c>
      <c r="E47" s="1265"/>
      <c r="F47" s="1265"/>
      <c r="G47" s="1265"/>
      <c r="H47" s="1265"/>
      <c r="I47" s="1265"/>
      <c r="J47" s="17"/>
      <c r="K47" s="1265" t="str">
        <f ca="1">IF($S$12=1,IF($AC$7=1,AB51,IF($AC$11=1,AC51,"")),IF(AND($S$12=2,OR($Z$47="LEEG",$Z$47="ONGELDIG")),IF($AC$7=1,AB51,IF($AC$11=1,AC51,"")),""))</f>
        <v/>
      </c>
      <c r="L47" s="1265"/>
      <c r="M47" s="1265"/>
      <c r="N47" s="1265"/>
      <c r="O47" s="1265"/>
      <c r="P47" s="1265"/>
      <c r="Q47" s="61"/>
      <c r="R47" s="17"/>
      <c r="S47" s="377">
        <f>S46+1</f>
        <v>3</v>
      </c>
      <c r="T47" s="301" t="str">
        <f ca="1">VLOOKUP(V47,Voorblad!$X$67:$Z$98,2,FALSE)</f>
        <v>ZZZ_land_G2</v>
      </c>
      <c r="U47" s="219" t="str">
        <f>VLOOKUP(V47,Voorblad!$X$67:$Z$98,3,FALSE)</f>
        <v>ZB</v>
      </c>
      <c r="V47" s="302" t="str">
        <f>V45&amp;2</f>
        <v>G2</v>
      </c>
      <c r="W47" s="626" t="str">
        <f>"|"&amp;Taal02!C38&amp;"|"&amp;Taal02!D38&amp;"|"&amp;Taal02!E38&amp;"|"&amp;Taal02!F38&amp;"|"&amp;Taal02!G38&amp;"|"&amp;Taal02!H38&amp;"|"&amp;Taal02!I38&amp;"|"&amp;Taal02!J38&amp;"|"</f>
        <v>|ZZZ_land_G2|ZZZ_land_G2|ZZZ_land_G2|ZZZ_land_G2|||||</v>
      </c>
      <c r="X47" s="521" t="s">
        <v>218</v>
      </c>
      <c r="Y47" s="144" t="str">
        <f>IF($A46="H","",IF(Y46=1, "LEEG",IF(AND(Y46&gt;1,Y46&lt;6,TYPE(Y46+Y48+Y50+Y52)=1),IF(OR(Y46=Y48,Y46=Y50,Y46=Y52),"DUBBEL","GOED"),"ONGELDIG")))</f>
        <v/>
      </c>
      <c r="Z47" s="144" t="str">
        <f>IF($A46="H","",IF(Z46=1, "LEEG",IF(AND(Z46&gt;1,Z46&lt;6,TYPE(Z46+Z48+Z50+Z52)=1),IF(OR(Z46=Z48,Z46=Z50,Z46=Z52),"DUBBEL","GOED"),"ONGELDIG")))</f>
        <v/>
      </c>
      <c r="AA47" s="514" t="str">
        <f>RIGHT(V47,1)</f>
        <v>2</v>
      </c>
      <c r="AB47" s="470" t="e">
        <f>#REF!</f>
        <v>#REF!</v>
      </c>
      <c r="AC47" s="469" t="str">
        <f>Groepswedstrijden!AF77</f>
        <v/>
      </c>
      <c r="AD47" s="515">
        <f ca="1">IF($AC$7=1,VLOOKUP($V47,#REF!,20,FALSE),IF($AC$11=1,VLOOKUP($V47,Groepswedstrijden!$AH$12:$BA$78,20,FALSE),""))</f>
        <v>3</v>
      </c>
      <c r="AE47" s="519" t="str">
        <f ca="1">IF($AC$7=1,VLOOKUP($V47,#REF!,3,FALSE),IF($AC$11=1,VLOOKUP($V47,Groepswedstrijden!$AH$12:$BA$78,3,FALSE),""))</f>
        <v>ZZZ_land_G2</v>
      </c>
      <c r="AF47" s="515">
        <f ca="1">IF($AC$7=1,VLOOKUP($V47,#REF!,9,FALSE),IF($AC$11=1,VLOOKUP($V47,Groepswedstrijden!$AH$12:$BA$78,9,FALSE),""))</f>
        <v>0</v>
      </c>
      <c r="AG47" s="515">
        <f ca="1">IF($AC$7=1,VLOOKUP($V47,#REF!,10,FALSE),IF($AC$11=1,VLOOKUP($V47,Groepswedstrijden!$AH$12:$BA$78,10,FALSE),""))</f>
        <v>0</v>
      </c>
      <c r="AH47" s="515">
        <f ca="1">IF($AC$7=1,VLOOKUP($V47,#REF!,11,FALSE),IF($AC$11=1,VLOOKUP($V47,Groepswedstrijden!$AH$12:$BA$78,11,FALSE),""))</f>
        <v>0</v>
      </c>
      <c r="AI47" s="517">
        <f ca="1">IF($AC$7=1,VLOOKUP($V47,#REF!,19,FALSE),IF($AC$11=1,VLOOKUP($V47,Groepswedstrijden!$AH$12:$BA$78,19,FALSE),""))</f>
        <v>5000003500002</v>
      </c>
      <c r="AJ47" s="520">
        <f ca="1">FLOOR(IF($AD46=2,AI46,IF($AD47=2,AI47,IF($AD48=2,AI48,AI49)))/10,1)</f>
        <v>500000350000</v>
      </c>
      <c r="AL47" s="1272"/>
      <c r="AM47" s="357" t="str">
        <f ca="1">IF(AJ47=AJ46,"","2.")</f>
        <v/>
      </c>
      <c r="AN47" s="358" t="str">
        <f ca="1">IF($AD46=2,AE46,IF($AD47=2,AE47,IF($AD48=2,AE48,AE49)))</f>
        <v>ZZZ_land_G3</v>
      </c>
      <c r="AO47" s="359">
        <f ca="1">IF($AD46=2,AF46,IF($AD47=2,AF47,IF($AD48=2,AF48,AF49)))</f>
        <v>0</v>
      </c>
      <c r="AP47" s="359">
        <f ca="1">IF($AD46=2,AG46,IF($AD47=2,AG47,IF($AD48=2,AG48,AG49)))</f>
        <v>0</v>
      </c>
      <c r="AQ47" s="359">
        <f ca="1">IF($AD46=2,AH46,IF($AD47=2,AH47,IF($AD48=2,AH48,AH49)))</f>
        <v>0</v>
      </c>
    </row>
    <row r="48" spans="1:43" ht="15" hidden="1" customHeight="1" x14ac:dyDescent="0.25">
      <c r="A48" s="613" t="str">
        <f t="shared" si="0"/>
        <v>H</v>
      </c>
      <c r="B48" s="17"/>
      <c r="C48" s="1049"/>
      <c r="D48" s="353" t="s">
        <v>214</v>
      </c>
      <c r="E48" s="900"/>
      <c r="F48" s="624" t="str">
        <f>IF(Y49="LEEG","▼","")</f>
        <v/>
      </c>
      <c r="G48" s="17"/>
      <c r="H48" s="17"/>
      <c r="I48" s="17"/>
      <c r="J48" s="17"/>
      <c r="K48" s="353" t="s">
        <v>214</v>
      </c>
      <c r="L48" s="901"/>
      <c r="M48" s="624" t="str">
        <f>IF(Z49="LEEG","▼","")</f>
        <v/>
      </c>
      <c r="N48" s="17"/>
      <c r="O48" s="17"/>
      <c r="P48" s="17"/>
      <c r="Q48" s="61"/>
      <c r="R48" s="17"/>
      <c r="S48" s="377">
        <f>S47+1</f>
        <v>4</v>
      </c>
      <c r="T48" s="301" t="str">
        <f ca="1">VLOOKUP(V48,Voorblad!$X$67:$Z$98,2,FALSE)</f>
        <v>ZZZ_land_G3</v>
      </c>
      <c r="U48" s="219" t="str">
        <f>VLOOKUP(V48,Voorblad!$X$67:$Z$98,3,FALSE)</f>
        <v>ZC</v>
      </c>
      <c r="V48" s="302" t="str">
        <f>V45&amp;3</f>
        <v>G3</v>
      </c>
      <c r="W48" s="626" t="str">
        <f>"|"&amp;Taal02!C39&amp;"|"&amp;Taal02!D39&amp;"|"&amp;Taal02!E39&amp;"|"&amp;Taal02!F39&amp;"|"&amp;Taal02!G39&amp;"|"&amp;Taal02!H39&amp;"|"&amp;Taal02!I39&amp;"|"&amp;Taal02!J39&amp;"|"</f>
        <v>|ZZZ_land_G3|ZZZ_land_G3|ZZZ_land_G3|ZZZ_land_G3|||||</v>
      </c>
      <c r="X48" s="521" t="s">
        <v>219</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514" t="str">
        <f>RIGHT(V48,1)</f>
        <v>3</v>
      </c>
      <c r="AB48" s="470" t="e">
        <f>#REF!</f>
        <v>#REF!</v>
      </c>
      <c r="AC48" s="469" t="str">
        <f>Groepswedstrijden!AF78</f>
        <v/>
      </c>
      <c r="AD48" s="515">
        <f ca="1">IF($AC$7=1,VLOOKUP($V48,#REF!,20,FALSE),IF($AC$11=1,VLOOKUP($V48,Groepswedstrijden!$AH$12:$BA$78,20,FALSE),""))</f>
        <v>2</v>
      </c>
      <c r="AE48" s="519" t="str">
        <f ca="1">IF($AC$7=1,VLOOKUP($V48,#REF!,3,FALSE),IF($AC$11=1,VLOOKUP($V48,Groepswedstrijden!$AH$12:$BA$78,3,FALSE),""))</f>
        <v>ZZZ_land_G3</v>
      </c>
      <c r="AF48" s="515">
        <f ca="1">IF($AC$7=1,VLOOKUP($V48,#REF!,9,FALSE),IF($AC$11=1,VLOOKUP($V48,Groepswedstrijden!$AH$12:$BA$78,9,FALSE),""))</f>
        <v>0</v>
      </c>
      <c r="AG48" s="515">
        <f ca="1">IF($AC$7=1,VLOOKUP($V48,#REF!,10,FALSE),IF($AC$11=1,VLOOKUP($V48,Groepswedstrijden!$AH$12:$BA$78,10,FALSE),""))</f>
        <v>0</v>
      </c>
      <c r="AH48" s="515">
        <f ca="1">IF($AC$7=1,VLOOKUP($V48,#REF!,11,FALSE),IF($AC$11=1,VLOOKUP($V48,Groepswedstrijden!$AH$12:$BA$78,11,FALSE),""))</f>
        <v>0</v>
      </c>
      <c r="AI48" s="517">
        <f ca="1">IF($AC$7=1,VLOOKUP($V48,#REF!,19,FALSE),IF($AC$11=1,VLOOKUP($V48,Groepswedstrijden!$AH$12:$BA$78,19,FALSE),""))</f>
        <v>5000003500003</v>
      </c>
      <c r="AJ48" s="520">
        <f ca="1">FLOOR(IF($AD46=3,AI46,IF($AD47=3,AI47,IF($AD48=3,AI48,AI49)))/10,1)</f>
        <v>500000350000</v>
      </c>
      <c r="AL48" s="1272"/>
      <c r="AM48" s="357" t="str">
        <f ca="1">IF(AJ48=AJ47,"","3.")</f>
        <v/>
      </c>
      <c r="AN48" s="358" t="str">
        <f ca="1">IF($AD46=3,AE46,IF($AD47=3,AE47,IF($AD48=3,AE48,AE49)))</f>
        <v>ZZZ_land_G2</v>
      </c>
      <c r="AO48" s="359">
        <f ca="1">IF($AD46=3,AF46,IF($AD47=3,AF47,IF($AD48=3,AF48,AF49)))</f>
        <v>0</v>
      </c>
      <c r="AP48" s="359">
        <f ca="1">IF($AD46=3,AG46,IF($AD47=3,AG47,IF($AD48=3,AG48,AG49)))</f>
        <v>0</v>
      </c>
      <c r="AQ48" s="359">
        <f ca="1">IF($AD46=3,AH46,IF($AD47=3,AH47,IF($AD48=3,AH48,AH49)))</f>
        <v>0</v>
      </c>
    </row>
    <row r="49" spans="1:43" ht="20.100000000000001" hidden="1" customHeight="1" x14ac:dyDescent="0.25">
      <c r="A49" s="613" t="str">
        <f t="shared" si="0"/>
        <v>H</v>
      </c>
      <c r="B49" s="17"/>
      <c r="C49" s="1049"/>
      <c r="D49" s="1265" t="str">
        <f ca="1">IF($S$12=1,IF($AC$7=1,AB47,IF($AC$11=1,AC47,"")),IF(AND($S$12=2,OR($Y$49="LEEG",$Y$49="ONGELDIG")),IF($AC$7=1,AB47,IF($AC$11=1,AC47,"")),""))</f>
        <v/>
      </c>
      <c r="E49" s="1265"/>
      <c r="F49" s="1265"/>
      <c r="G49" s="1265"/>
      <c r="H49" s="1265"/>
      <c r="I49" s="1265"/>
      <c r="J49" s="17"/>
      <c r="K49" s="1265" t="str">
        <f ca="1">IF($S$12=1,IF($AC$7=1,AB52,IF($AC$11=1,AC52,"")),IF(AND($S$12=2,OR($Z$49="LEEG",$Z$49="ONGELDIG")),IF($AC$7=1,AB52,IF($AC$11=1,AC52,"")),""))</f>
        <v/>
      </c>
      <c r="L49" s="1265"/>
      <c r="M49" s="1265"/>
      <c r="N49" s="1265"/>
      <c r="O49" s="1265"/>
      <c r="P49" s="1265"/>
      <c r="Q49" s="61"/>
      <c r="R49" s="17"/>
      <c r="S49" s="377">
        <f>S48+1</f>
        <v>5</v>
      </c>
      <c r="T49" s="303" t="str">
        <f ca="1">VLOOKUP(V49,Voorblad!$X$67:$Z$98,2,FALSE)</f>
        <v>ZZZ_land_G4</v>
      </c>
      <c r="U49" s="304" t="str">
        <f>VLOOKUP(V49,Voorblad!$X$67:$Z$98,3,FALSE)</f>
        <v>ZD</v>
      </c>
      <c r="V49" s="305" t="str">
        <f>V45&amp;4</f>
        <v>G4</v>
      </c>
      <c r="W49" s="626" t="str">
        <f>"|"&amp;Taal02!C40&amp;"|"&amp;Taal02!D40&amp;"|"&amp;Taal02!E40&amp;"|"&amp;Taal02!F40&amp;"|"&amp;Taal02!G40&amp;"|"&amp;Taal02!H40&amp;"|"&amp;Taal02!I40&amp;"|"&amp;Taal02!J40&amp;"|"</f>
        <v>|ZZZ_land_G4|ZZZ_land_G4|ZZZ_land_G4|ZZZ_land_G4|||||</v>
      </c>
      <c r="X49" s="521" t="s">
        <v>220</v>
      </c>
      <c r="Y49" s="144" t="str">
        <f>IF($A48="H","",IF(Y48=1,"LEEG",IF(AND(Y48&gt;1,Y48&lt;6,TYPE(Y46+Y48+Y50+Y52)=1),IF(OR(Y48=Y46,Y48=Y50,Y48=Y52),"DUBBEL","GOED"),"ONGELDIG")))</f>
        <v/>
      </c>
      <c r="Z49" s="144" t="str">
        <f>IF($A48="H","",IF(Z48=1, "LEEG",IF(AND(Z48&gt;1,Z48&lt;6,TYPE(Z46+Z48+Z50+Z52)=1),IF(OR(Z48=Z46,Z48=Z50,Z48=Z52),"DUBBEL","GOED"),"ONGELDIG")))</f>
        <v/>
      </c>
      <c r="AA49" s="514" t="str">
        <f>RIGHT(V49,1)</f>
        <v>4</v>
      </c>
      <c r="AB49" s="470" t="e">
        <f>#REF!</f>
        <v>#REF!</v>
      </c>
      <c r="AC49" s="469" t="str">
        <f>Groepswedstrijden!AF79</f>
        <v/>
      </c>
      <c r="AD49" s="515">
        <f ca="1">IF($AC$7=1,VLOOKUP($V49,#REF!,20,FALSE),IF($AC$11=1,VLOOKUP($V49,Groepswedstrijden!$AH$12:$BA$78,20,FALSE),""))</f>
        <v>1</v>
      </c>
      <c r="AE49" s="519" t="str">
        <f ca="1">IF($AC$7=1,VLOOKUP($V49,#REF!,3,FALSE),IF($AC$11=1,VLOOKUP($V49,Groepswedstrijden!$AH$12:$BA$78,3,FALSE),""))</f>
        <v>ZZZ_land_G4</v>
      </c>
      <c r="AF49" s="515">
        <f ca="1">IF($AC$7=1,VLOOKUP($V49,#REF!,9,FALSE),IF($AC$11=1,VLOOKUP($V49,Groepswedstrijden!$AH$12:$BA$78,9,FALSE),""))</f>
        <v>0</v>
      </c>
      <c r="AG49" s="515">
        <f ca="1">IF($AC$7=1,VLOOKUP($V49,#REF!,10,FALSE),IF($AC$11=1,VLOOKUP($V49,Groepswedstrijden!$AH$12:$BA$78,10,FALSE),""))</f>
        <v>0</v>
      </c>
      <c r="AH49" s="515">
        <f ca="1">IF($AC$7=1,VLOOKUP($V49,#REF!,11,FALSE),IF($AC$11=1,VLOOKUP($V49,Groepswedstrijden!$AH$12:$BA$78,11,FALSE),""))</f>
        <v>0</v>
      </c>
      <c r="AI49" s="517">
        <f ca="1">IF($AC$7=1,VLOOKUP($V49,#REF!,19,FALSE),IF($AC$11=1,VLOOKUP($V49,Groepswedstrijden!$AH$12:$BA$78,19,FALSE),""))</f>
        <v>5000003500004</v>
      </c>
      <c r="AJ49" s="520">
        <f ca="1">FLOOR(IF($AD46=4,AI46,IF($AD47=4,AI47,IF($AD48=4,AI48,AI49)))/10,1)</f>
        <v>500000350000</v>
      </c>
      <c r="AL49" s="1273"/>
      <c r="AM49" s="360" t="str">
        <f ca="1">IF(AJ49=AJ48,"","4.")</f>
        <v/>
      </c>
      <c r="AN49" s="361" t="str">
        <f ca="1">IF($AD46=4,AE46,IF($AD47=4,AE47,IF($AD48=4,AE48,AE49)))</f>
        <v>ZZZ_land_G1</v>
      </c>
      <c r="AO49" s="362">
        <f ca="1">IF($AD46=4,AF46,IF($AD47=4,AF47,IF($AD48=4,AF48,AF49)))</f>
        <v>0</v>
      </c>
      <c r="AP49" s="362">
        <f ca="1">IF($AD46=4,AG46,IF($AD47=4,AG47,IF($AD48=4,AG48,AG49)))</f>
        <v>0</v>
      </c>
      <c r="AQ49" s="362">
        <f ca="1">IF($AD46=4,AH46,IF($AD47=4,AH47,IF($AD48=4,AH48,AH49)))</f>
        <v>0</v>
      </c>
    </row>
    <row r="50" spans="1:43" ht="15" hidden="1" customHeight="1" x14ac:dyDescent="0.25">
      <c r="A50" s="613" t="str">
        <f t="shared" si="0"/>
        <v>H</v>
      </c>
      <c r="B50" s="17"/>
      <c r="C50" s="1049"/>
      <c r="D50" s="353" t="s">
        <v>215</v>
      </c>
      <c r="E50" s="900"/>
      <c r="F50" s="624" t="str">
        <f>IF(Y51="LEEG","▼","")</f>
        <v/>
      </c>
      <c r="G50" s="17"/>
      <c r="H50" s="17"/>
      <c r="I50" s="17"/>
      <c r="J50" s="17"/>
      <c r="K50" s="353" t="s">
        <v>215</v>
      </c>
      <c r="L50" s="901"/>
      <c r="M50" s="624" t="str">
        <f>IF(Z51="LEEG","▼","")</f>
        <v/>
      </c>
      <c r="N50" s="17"/>
      <c r="O50" s="17"/>
      <c r="P50" s="17"/>
      <c r="Q50" s="61"/>
      <c r="R50" s="17"/>
      <c r="S50" s="377">
        <v>1</v>
      </c>
      <c r="T50" s="297"/>
      <c r="U50" s="300"/>
      <c r="V50" s="299" t="str">
        <f>IF(A45="H","H",RIGHT(K44,1))</f>
        <v>H</v>
      </c>
      <c r="W50" s="625"/>
      <c r="X50" s="521" t="s">
        <v>221</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69"/>
      <c r="AB50" s="468" t="str">
        <f ca="1">UPPER(Taal04!$B$26)&amp;" "&amp;V50</f>
        <v>GROEP H</v>
      </c>
      <c r="AC50" s="514" t="str">
        <f ca="1">AB50</f>
        <v>GROEP H</v>
      </c>
      <c r="AD50" s="515"/>
      <c r="AE50" s="516" t="str">
        <f ca="1">AB50</f>
        <v>GROEP H</v>
      </c>
      <c r="AF50" s="515"/>
      <c r="AG50" s="515"/>
      <c r="AH50" s="515"/>
      <c r="AI50" s="517"/>
      <c r="AJ50" s="518"/>
      <c r="AL50" s="639" t="str">
        <f ca="1">IF(AF9="JA","","└ "&amp;SUBSTITUTE(Taal04!B62,"#",RIGHT(AL46,1)))</f>
        <v>└ LET OP: niet alle wedstrijden in groep G zijn ingevuld.</v>
      </c>
      <c r="AM50" s="638"/>
      <c r="AP50" s="640"/>
      <c r="AQ50" s="640"/>
    </row>
    <row r="51" spans="1:43" ht="20.100000000000001" hidden="1" customHeight="1" x14ac:dyDescent="0.25">
      <c r="A51" s="613" t="str">
        <f t="shared" si="0"/>
        <v>H</v>
      </c>
      <c r="B51" s="17"/>
      <c r="C51" s="1049"/>
      <c r="D51" s="1265" t="str">
        <f ca="1">IF($S$12=1,IF($AC$7=1,AB48,IF($AC$11=1,AC48,"")),IF(AND($S$12=2,OR($Y$51="LEEG",$Y$51="ONGELDIG")),IF($AC$7=1,AB48,IF($AC$11=1,AC48,"")),""))</f>
        <v/>
      </c>
      <c r="E51" s="1265"/>
      <c r="F51" s="1265"/>
      <c r="G51" s="1265"/>
      <c r="H51" s="1265"/>
      <c r="I51" s="1265"/>
      <c r="J51" s="17"/>
      <c r="K51" s="1265" t="str">
        <f ca="1">IF($S$12=1,IF($AC$7=1,AB53,IF($AC$11=1,AC53,"")),IF(AND($S$12=2,OR($Z$51="LEEG",$Z$51="ONGELDIG")),IF($AC$7=1,AB53,IF($AC$11=1,AC53,"")),""))</f>
        <v/>
      </c>
      <c r="L51" s="1265"/>
      <c r="M51" s="1265"/>
      <c r="N51" s="1265"/>
      <c r="O51" s="1265"/>
      <c r="P51" s="1265"/>
      <c r="Q51" s="61"/>
      <c r="R51" s="17"/>
      <c r="S51" s="377">
        <f>S50+1</f>
        <v>2</v>
      </c>
      <c r="T51" s="301" t="str">
        <f ca="1">VLOOKUP(V51,Voorblad!$X$67:$Z$98,2,FALSE)</f>
        <v>ZZZ_land_H1</v>
      </c>
      <c r="U51" s="219" t="str">
        <f>VLOOKUP(V51,Voorblad!$X$67:$Z$98,3,FALSE)</f>
        <v>ZE</v>
      </c>
      <c r="V51" s="302" t="str">
        <f>V50&amp;1</f>
        <v>H1</v>
      </c>
      <c r="W51" s="626" t="str">
        <f>"|"&amp;Taal02!C42&amp;"|"&amp;Taal02!D42&amp;"|"&amp;Taal02!E42&amp;"|"&amp;Taal02!F42&amp;"|"&amp;Taal02!G42&amp;"|"&amp;Taal02!H42&amp;"|"&amp;Taal02!I42&amp;"|"&amp;Taal02!J42&amp;"|"</f>
        <v>|ZZZ_land_H1|ZZZ_land_H1|ZZZ_land_H1|ZZZ_land_H1|||||</v>
      </c>
      <c r="X51" s="521" t="s">
        <v>222</v>
      </c>
      <c r="Y51" s="144" t="str">
        <f>IF($A50="H","",IF(Y50=1,"LEEG",IF(AND(Y50&gt;1,Y50&lt;6,TYPE(Y46+Y48+Y50+Y52)=1),IF(OR(Y50=Y46,Y50=Y48,Y50=Y52),"DUBBEL","GOED"),"ONGELDIG")))</f>
        <v/>
      </c>
      <c r="Z51" s="144" t="str">
        <f>IF($A50="H","",IF(Z50=1, "LEEG",IF(AND(Z50&gt;1,Z50&lt;6,TYPE(Z46+Z48+Z50+Z52)=1),IF(OR(Z50=Z46,Z50=Z48,Z50=Z52),"DUBBEL","GOED"),"ONGELDIG")))</f>
        <v/>
      </c>
      <c r="AA51" s="514" t="str">
        <f>RIGHT(V51,1)</f>
        <v>1</v>
      </c>
      <c r="AB51" s="470" t="e">
        <f>#REF!</f>
        <v>#REF!</v>
      </c>
      <c r="AC51" s="469" t="str">
        <f ca="1">Groepswedstrijden!AG76</f>
        <v/>
      </c>
      <c r="AD51" s="515">
        <f ca="1">IF($AC$7=1,VLOOKUP($V51,#REF!,20,FALSE),IF($AC$11=1,VLOOKUP($V51,Groepswedstrijden!$AH$12:$BA$78,20,FALSE),""))</f>
        <v>4</v>
      </c>
      <c r="AE51" s="519" t="str">
        <f ca="1">IF($AC$7=1,VLOOKUP($V51,#REF!,3,FALSE),IF($AC$11=1,VLOOKUP($V51,Groepswedstrijden!$AH$12:$BA$78,3,FALSE),""))</f>
        <v>ZZZ_land_H1</v>
      </c>
      <c r="AF51" s="515">
        <f ca="1">IF($AC$7=1,VLOOKUP($V51,#REF!,9,FALSE),IF($AC$11=1,VLOOKUP($V51,Groepswedstrijden!$AH$12:$BA$78,9,FALSE),""))</f>
        <v>0</v>
      </c>
      <c r="AG51" s="515">
        <f ca="1">IF($AC$7=1,VLOOKUP($V51,#REF!,10,FALSE),IF($AC$11=1,VLOOKUP($V51,Groepswedstrijden!$AH$12:$BA$78,10,FALSE),""))</f>
        <v>0</v>
      </c>
      <c r="AH51" s="515">
        <f ca="1">IF($AC$7=1,VLOOKUP($V51,#REF!,11,FALSE),IF($AC$11=1,VLOOKUP($V51,Groepswedstrijden!$AH$12:$BA$78,11,FALSE),""))</f>
        <v>0</v>
      </c>
      <c r="AI51" s="517">
        <f ca="1">IF($AC$7=1,VLOOKUP($V51,#REF!,19,FALSE),IF($AC$11=1,VLOOKUP($V51,Groepswedstrijden!$AH$12:$BA$78,19,FALSE),""))</f>
        <v>5000003500001</v>
      </c>
      <c r="AJ51" s="520">
        <f ca="1">FLOOR(IF($AD51=1,AI51,IF($AD52=1,AI52,IF($AD53=1,AI53,AI54)))/10,1)</f>
        <v>500000350000</v>
      </c>
      <c r="AL51" s="1271" t="str">
        <f ca="1">AE50</f>
        <v>GROEP H</v>
      </c>
      <c r="AM51" s="354" t="s">
        <v>65</v>
      </c>
      <c r="AN51" s="355" t="str">
        <f ca="1">IF($AD51=1,AE51,IF($AD52=1,AE52,IF($AD53=1,AE53,AE54)))</f>
        <v>ZZZ_land_H4</v>
      </c>
      <c r="AO51" s="356">
        <f ca="1">IF($AD51=1,AF51,IF($AD52=1,AF52,IF($AD53=1,AF53,AF54)))</f>
        <v>0</v>
      </c>
      <c r="AP51" s="356">
        <f ca="1">IF($AD51=1,AG51,IF($AD52=1,AG52,IF($AD53=1,AG53,AG54)))</f>
        <v>0</v>
      </c>
      <c r="AQ51" s="356">
        <f ca="1">IF($AD51=1,AH51,IF($AD52=1,AH52,IF($AD53=1,AH53,AH54)))</f>
        <v>0</v>
      </c>
    </row>
    <row r="52" spans="1:43" ht="15" hidden="1" customHeight="1" x14ac:dyDescent="0.25">
      <c r="A52" s="613" t="str">
        <f t="shared" si="0"/>
        <v>H</v>
      </c>
      <c r="B52" s="17"/>
      <c r="C52" s="1049"/>
      <c r="D52" s="353" t="s">
        <v>216</v>
      </c>
      <c r="E52" s="900"/>
      <c r="F52" s="624" t="str">
        <f>IF(Y53="LEEG","▼","")</f>
        <v/>
      </c>
      <c r="G52" s="17"/>
      <c r="H52" s="17"/>
      <c r="I52" s="17"/>
      <c r="J52" s="17"/>
      <c r="K52" s="353" t="s">
        <v>216</v>
      </c>
      <c r="L52" s="901"/>
      <c r="M52" s="624" t="str">
        <f>IF(Z53="LEEG","▼","")</f>
        <v/>
      </c>
      <c r="N52" s="17"/>
      <c r="O52" s="17"/>
      <c r="P52" s="17"/>
      <c r="Q52" s="61"/>
      <c r="R52" s="17"/>
      <c r="S52" s="377">
        <f>S51+1</f>
        <v>3</v>
      </c>
      <c r="T52" s="301" t="str">
        <f ca="1">VLOOKUP(V52,Voorblad!$X$67:$Z$98,2,FALSE)</f>
        <v>ZZZ_land_H2</v>
      </c>
      <c r="U52" s="219" t="str">
        <f>VLOOKUP(V52,Voorblad!$X$67:$Z$98,3,FALSE)</f>
        <v>ZF</v>
      </c>
      <c r="V52" s="302" t="str">
        <f>V50&amp;2</f>
        <v>H2</v>
      </c>
      <c r="W52" s="626" t="str">
        <f>"|"&amp;Taal02!C43&amp;"|"&amp;Taal02!D43&amp;"|"&amp;Taal02!E43&amp;"|"&amp;Taal02!F43&amp;"|"&amp;Taal02!G43&amp;"|"&amp;Taal02!H43&amp;"|"&amp;Taal02!I43&amp;"|"&amp;Taal02!J43&amp;"|"</f>
        <v>|ZZZ_land_H2|ZZZ_land_H2|ZZZ_land_H2|ZZZ_land_H2|||||</v>
      </c>
      <c r="X52" s="521" t="s">
        <v>223</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514" t="str">
        <f>RIGHT(V52,1)</f>
        <v>2</v>
      </c>
      <c r="AB52" s="470" t="e">
        <f>#REF!</f>
        <v>#REF!</v>
      </c>
      <c r="AC52" s="469" t="str">
        <f ca="1">Groepswedstrijden!AG77</f>
        <v/>
      </c>
      <c r="AD52" s="515">
        <f ca="1">IF($AC$7=1,VLOOKUP($V52,#REF!,20,FALSE),IF($AC$11=1,VLOOKUP($V52,Groepswedstrijden!$AH$12:$BA$78,20,FALSE),""))</f>
        <v>3</v>
      </c>
      <c r="AE52" s="519" t="str">
        <f ca="1">IF($AC$7=1,VLOOKUP($V52,#REF!,3,FALSE),IF($AC$11=1,VLOOKUP($V52,Groepswedstrijden!$AH$12:$BA$78,3,FALSE),""))</f>
        <v>ZZZ_land_H2</v>
      </c>
      <c r="AF52" s="515">
        <f ca="1">IF($AC$7=1,VLOOKUP($V52,#REF!,9,FALSE),IF($AC$11=1,VLOOKUP($V52,Groepswedstrijden!$AH$12:$BA$78,9,FALSE),""))</f>
        <v>0</v>
      </c>
      <c r="AG52" s="515">
        <f ca="1">IF($AC$7=1,VLOOKUP($V52,#REF!,10,FALSE),IF($AC$11=1,VLOOKUP($V52,Groepswedstrijden!$AH$12:$BA$78,10,FALSE),""))</f>
        <v>0</v>
      </c>
      <c r="AH52" s="515">
        <f ca="1">IF($AC$7=1,VLOOKUP($V52,#REF!,11,FALSE),IF($AC$11=1,VLOOKUP($V52,Groepswedstrijden!$AH$12:$BA$78,11,FALSE),""))</f>
        <v>0</v>
      </c>
      <c r="AI52" s="517">
        <f ca="1">IF($AC$7=1,VLOOKUP($V52,#REF!,19,FALSE),IF($AC$11=1,VLOOKUP($V52,Groepswedstrijden!$AH$12:$BA$78,19,FALSE),""))</f>
        <v>5000003500002</v>
      </c>
      <c r="AJ52" s="520">
        <f ca="1">FLOOR(IF($AD51=2,AI51,IF($AD52=2,AI52,IF($AD53=2,AI53,AI54)))/10,1)</f>
        <v>500000350000</v>
      </c>
      <c r="AL52" s="1272"/>
      <c r="AM52" s="357" t="str">
        <f ca="1">IF(AJ52=AJ51,"","2.")</f>
        <v/>
      </c>
      <c r="AN52" s="358" t="str">
        <f ca="1">IF($AD51=2,AE51,IF($AD52=2,AE52,IF($AD53=2,AE53,AE54)))</f>
        <v>ZZZ_land_H3</v>
      </c>
      <c r="AO52" s="359">
        <f ca="1">IF($AD51=2,AF51,IF($AD52=2,AF52,IF($AD53=2,AF53,AF54)))</f>
        <v>0</v>
      </c>
      <c r="AP52" s="359">
        <f ca="1">IF($AD51=2,AG51,IF($AD52=2,AG52,IF($AD53=2,AG53,AG54)))</f>
        <v>0</v>
      </c>
      <c r="AQ52" s="359">
        <f ca="1">IF($AD51=2,AH51,IF($AD52=2,AH52,IF($AD53=2,AH53,AH54)))</f>
        <v>0</v>
      </c>
    </row>
    <row r="53" spans="1:43" ht="20.100000000000001" hidden="1" customHeight="1" x14ac:dyDescent="0.25">
      <c r="A53" s="613" t="str">
        <f t="shared" si="0"/>
        <v>H</v>
      </c>
      <c r="B53" s="17"/>
      <c r="C53" s="1049"/>
      <c r="D53" s="1265" t="str">
        <f ca="1">IF($S$12=1,IF($AC$7=1,AB49,IF($AC$11=1,AC49,"")),IF(AND($S$12=2,OR($Y$53="LEEG",$Y$53="ONGELDIG")),IF($AC$7=1,AB49,IF($AC$11=1,AC49,"")),""))</f>
        <v/>
      </c>
      <c r="E53" s="1265"/>
      <c r="F53" s="1265"/>
      <c r="G53" s="1265"/>
      <c r="H53" s="1265"/>
      <c r="I53" s="1265"/>
      <c r="J53" s="17"/>
      <c r="K53" s="1265" t="str">
        <f ca="1">IF($S$12=1,IF($AC$7=1,AB54,IF($AC$11=1,AC54,"")),IF(AND($S$12=2,OR($Z$53="LEEG",$Z$53="ONGELDIG")),IF($AC$7=1,AB54,IF($AC$11=1,AC54,"")),""))</f>
        <v/>
      </c>
      <c r="L53" s="1265"/>
      <c r="M53" s="1265"/>
      <c r="N53" s="1265"/>
      <c r="O53" s="1265"/>
      <c r="P53" s="1265"/>
      <c r="Q53" s="61"/>
      <c r="R53" s="17"/>
      <c r="S53" s="377">
        <f>S52+1</f>
        <v>4</v>
      </c>
      <c r="T53" s="301" t="str">
        <f ca="1">VLOOKUP(V53,Voorblad!$X$67:$Z$98,2,FALSE)</f>
        <v>ZZZ_land_H3</v>
      </c>
      <c r="U53" s="219" t="str">
        <f>VLOOKUP(V53,Voorblad!$X$67:$Z$98,3,FALSE)</f>
        <v>ZG</v>
      </c>
      <c r="V53" s="302" t="str">
        <f>V50&amp;3</f>
        <v>H3</v>
      </c>
      <c r="W53" s="626" t="str">
        <f>"|"&amp;Taal02!C44&amp;"|"&amp;Taal02!D44&amp;"|"&amp;Taal02!E44&amp;"|"&amp;Taal02!F44&amp;"|"&amp;Taal02!G44&amp;"|"&amp;Taal02!H44&amp;"|"&amp;Taal02!I44&amp;"|"&amp;Taal02!J44&amp;"|"</f>
        <v>|ZZZ_land_H3|ZZZ_land_H3|ZZZ_land_H3|ZZZ_land_H3|||||</v>
      </c>
      <c r="X53" s="521" t="s">
        <v>224</v>
      </c>
      <c r="Y53" s="144" t="str">
        <f>IF($A52="H","",IF(Y52=1, "LEEG",IF(AND(Y52&gt;1,Y52&lt;6,TYPE(Y46+Y48+Y50+Y52)=1),IF(OR(Y52=Y46,Y52=Y48,Y52=Y50),"DUBBEL","GOED"),"ONGELDIG")))</f>
        <v/>
      </c>
      <c r="Z53" s="144" t="str">
        <f>IF($A52="H","",IF(Z52=1, "LEEG",IF(AND(Z52&gt;1,Z52&lt;6,TYPE(Z46+Z48+Z50+Z52)=1),IF(OR(Z52=Z46,Z52=Z48,Z52=Z50),"DUBBEL","GOED"),"ONGELDIG")))</f>
        <v/>
      </c>
      <c r="AA53" s="514" t="str">
        <f>RIGHT(V53,1)</f>
        <v>3</v>
      </c>
      <c r="AB53" s="470" t="e">
        <f>#REF!</f>
        <v>#REF!</v>
      </c>
      <c r="AC53" s="469" t="str">
        <f ca="1">Groepswedstrijden!AG78</f>
        <v/>
      </c>
      <c r="AD53" s="515">
        <f ca="1">IF($AC$7=1,VLOOKUP($V53,#REF!,20,FALSE),IF($AC$11=1,VLOOKUP($V53,Groepswedstrijden!$AH$12:$BA$78,20,FALSE),""))</f>
        <v>2</v>
      </c>
      <c r="AE53" s="519" t="str">
        <f ca="1">IF($AC$7=1,VLOOKUP($V53,#REF!,3,FALSE),IF($AC$11=1,VLOOKUP($V53,Groepswedstrijden!$AH$12:$BA$78,3,FALSE),""))</f>
        <v>ZZZ_land_H3</v>
      </c>
      <c r="AF53" s="515">
        <f ca="1">IF($AC$7=1,VLOOKUP($V53,#REF!,9,FALSE),IF($AC$11=1,VLOOKUP($V53,Groepswedstrijden!$AH$12:$BA$78,9,FALSE),""))</f>
        <v>0</v>
      </c>
      <c r="AG53" s="515">
        <f ca="1">IF($AC$7=1,VLOOKUP($V53,#REF!,10,FALSE),IF($AC$11=1,VLOOKUP($V53,Groepswedstrijden!$AH$12:$BA$78,10,FALSE),""))</f>
        <v>0</v>
      </c>
      <c r="AH53" s="515">
        <f ca="1">IF($AC$7=1,VLOOKUP($V53,#REF!,11,FALSE),IF($AC$11=1,VLOOKUP($V53,Groepswedstrijden!$AH$12:$BA$78,11,FALSE),""))</f>
        <v>0</v>
      </c>
      <c r="AI53" s="517">
        <f ca="1">IF($AC$7=1,VLOOKUP($V53,#REF!,19,FALSE),IF($AC$11=1,VLOOKUP($V53,Groepswedstrijden!$AH$12:$BA$78,19,FALSE),""))</f>
        <v>5000003500003</v>
      </c>
      <c r="AJ53" s="520">
        <f ca="1">FLOOR(IF($AD51=3,AI51,IF($AD52=3,AI52,IF($AD53=3,AI53,AI54)))/10,1)</f>
        <v>500000350000</v>
      </c>
      <c r="AL53" s="1272"/>
      <c r="AM53" s="357" t="str">
        <f ca="1">IF(AJ53=AJ52,"","3.")</f>
        <v/>
      </c>
      <c r="AN53" s="358" t="str">
        <f ca="1">IF($AD51=3,AE51,IF($AD52=3,AE52,IF($AD53=3,AE53,AE54)))</f>
        <v>ZZZ_land_H2</v>
      </c>
      <c r="AO53" s="359">
        <f ca="1">IF($AD51=3,AF51,IF($AD52=3,AF52,IF($AD53=3,AF53,AF54)))</f>
        <v>0</v>
      </c>
      <c r="AP53" s="359">
        <f ca="1">IF($AD51=3,AG51,IF($AD52=3,AG52,IF($AD53=3,AG53,AG54)))</f>
        <v>0</v>
      </c>
      <c r="AQ53" s="359">
        <f ca="1">IF($AD51=3,AH51,IF($AD52=3,AH52,IF($AD53=3,AH53,AH54)))</f>
        <v>0</v>
      </c>
    </row>
    <row r="54" spans="1:43" ht="15" hidden="1" customHeight="1" x14ac:dyDescent="0.25">
      <c r="A54" s="613" t="str">
        <f t="shared" si="0"/>
        <v>H</v>
      </c>
      <c r="B54" s="17"/>
      <c r="C54" s="1049"/>
      <c r="D54" s="17"/>
      <c r="E54" s="17"/>
      <c r="F54" s="17"/>
      <c r="G54" s="17"/>
      <c r="H54" s="17"/>
      <c r="I54" s="17"/>
      <c r="J54" s="17"/>
      <c r="K54" s="17"/>
      <c r="L54" s="17"/>
      <c r="M54" s="17"/>
      <c r="N54" s="17"/>
      <c r="O54" s="17"/>
      <c r="P54" s="17"/>
      <c r="Q54" s="61"/>
      <c r="R54" s="17"/>
      <c r="S54" s="377">
        <f>S53+1</f>
        <v>5</v>
      </c>
      <c r="T54" s="303" t="str">
        <f ca="1">VLOOKUP(V54,Voorblad!$X$67:$Z$98,2,FALSE)</f>
        <v>ZZZ_land_H4</v>
      </c>
      <c r="U54" s="304" t="str">
        <f>VLOOKUP(V54,Voorblad!$X$67:$Z$98,3,FALSE)</f>
        <v>ZH</v>
      </c>
      <c r="V54" s="305" t="str">
        <f>V50&amp;4</f>
        <v>H4</v>
      </c>
      <c r="W54" s="626" t="str">
        <f>"|"&amp;Taal02!C45&amp;"|"&amp;Taal02!D45&amp;"|"&amp;Taal02!E45&amp;"|"&amp;Taal02!F45&amp;"|"&amp;Taal02!G45&amp;"|"&amp;Taal02!H45&amp;"|"&amp;Taal02!I45&amp;"|"&amp;Taal02!J45&amp;"|"</f>
        <v>|ZZZ_land_H4|ZZZ_land_H4|ZZZ_land_H4|ZZZ_land_H4|||||</v>
      </c>
      <c r="X54" s="521" t="s">
        <v>225</v>
      </c>
      <c r="Y54" s="439" t="str">
        <f>IF(TYPE(1*((Y46+Y48+Y50+Y52)&amp;(Y46*Y48*Y50*Y52)))=1,(Y46+Y48+Y50+Y52)&amp;(Y46*Y48*Y50*Y52),14120)</f>
        <v>41</v>
      </c>
      <c r="Z54" s="439" t="str">
        <f>IF(TYPE(1*((Z46+Z48+Z50+Z52)&amp;(Z46*Z48*Z50*Z52)))=1,(Z46+Z48+Z50+Z52)&amp;(Z46*Z48*Z50*Z52),14120)</f>
        <v>41</v>
      </c>
      <c r="AA54" s="514" t="str">
        <f>RIGHT(V54,1)</f>
        <v>4</v>
      </c>
      <c r="AB54" s="470" t="e">
        <f>#REF!</f>
        <v>#REF!</v>
      </c>
      <c r="AC54" s="469" t="str">
        <f ca="1">Groepswedstrijden!AG79</f>
        <v/>
      </c>
      <c r="AD54" s="515">
        <f ca="1">IF($AC$7=1,VLOOKUP($V54,#REF!,20,FALSE),IF($AC$11=1,VLOOKUP($V54,Groepswedstrijden!$AH$12:$BA$78,20,FALSE),""))</f>
        <v>1</v>
      </c>
      <c r="AE54" s="519" t="str">
        <f ca="1">IF($AC$7=1,VLOOKUP($V54,#REF!,3,FALSE),IF($AC$11=1,VLOOKUP($V54,Groepswedstrijden!$AH$12:$BA$78,3,FALSE),""))</f>
        <v>ZZZ_land_H4</v>
      </c>
      <c r="AF54" s="515">
        <f ca="1">IF($AC$7=1,VLOOKUP($V54,#REF!,9,FALSE),IF($AC$11=1,VLOOKUP($V54,Groepswedstrijden!$AH$12:$BA$78,9,FALSE),""))</f>
        <v>0</v>
      </c>
      <c r="AG54" s="515">
        <f ca="1">IF($AC$7=1,VLOOKUP($V54,#REF!,10,FALSE),IF($AC$11=1,VLOOKUP($V54,Groepswedstrijden!$AH$12:$BA$78,10,FALSE),""))</f>
        <v>0</v>
      </c>
      <c r="AH54" s="515">
        <f ca="1">IF($AC$7=1,VLOOKUP($V54,#REF!,11,FALSE),IF($AC$11=1,VLOOKUP($V54,Groepswedstrijden!$AH$12:$BA$78,11,FALSE),""))</f>
        <v>0</v>
      </c>
      <c r="AI54" s="517">
        <f ca="1">IF($AC$7=1,VLOOKUP($V54,#REF!,19,FALSE),IF($AC$11=1,VLOOKUP($V54,Groepswedstrijden!$AH$12:$BA$78,19,FALSE),""))</f>
        <v>5000003500004</v>
      </c>
      <c r="AJ54" s="520">
        <f ca="1">FLOOR(IF($AD51=4,AI51,IF($AD52=4,AI52,IF($AD53=4,AI53,AI54)))/10,1)</f>
        <v>500000350000</v>
      </c>
      <c r="AK54" s="154"/>
      <c r="AL54" s="1273"/>
      <c r="AM54" s="360" t="str">
        <f ca="1">IF(AJ54=AJ53,"","4.")</f>
        <v/>
      </c>
      <c r="AN54" s="361" t="str">
        <f ca="1">IF($AD51=4,AE51,IF($AD52=4,AE52,IF($AD53=4,AE53,AE54)))</f>
        <v>ZZZ_land_H1</v>
      </c>
      <c r="AO54" s="362">
        <f ca="1">IF($AD51=4,AF51,IF($AD52=4,AF52,IF($AD53=4,AF53,AF54)))</f>
        <v>0</v>
      </c>
      <c r="AP54" s="362">
        <f ca="1">IF($AD51=4,AG51,IF($AD52=4,AG52,IF($AD53=4,AG53,AG54)))</f>
        <v>0</v>
      </c>
      <c r="AQ54" s="362">
        <f ca="1">IF($AD51=4,AH51,IF($AD52=4,AH52,IF($AD53=4,AH53,AH54)))</f>
        <v>0</v>
      </c>
    </row>
    <row r="55" spans="1:43" ht="15" customHeight="1" x14ac:dyDescent="0.25">
      <c r="A55" s="613" t="str">
        <f>IF(A45="H","","H")</f>
        <v/>
      </c>
      <c r="B55" s="17"/>
      <c r="C55" s="1049"/>
      <c r="D55" s="17"/>
      <c r="E55" s="17"/>
      <c r="F55" s="17"/>
      <c r="G55" s="17"/>
      <c r="H55" s="17"/>
      <c r="I55" s="17"/>
      <c r="J55" s="17"/>
      <c r="K55" s="17"/>
      <c r="L55" s="17"/>
      <c r="M55" s="17"/>
      <c r="N55" s="17"/>
      <c r="O55" s="17"/>
      <c r="P55" s="17"/>
      <c r="Q55" s="61"/>
      <c r="R55" s="17"/>
      <c r="S55" s="10"/>
      <c r="T55" s="10"/>
      <c r="U55" s="10"/>
      <c r="V55" s="10"/>
      <c r="W55" s="10"/>
      <c r="X55" s="144"/>
      <c r="Y55" s="183"/>
      <c r="Z55" s="183"/>
      <c r="AA55" s="440"/>
      <c r="AB55" s="443"/>
      <c r="AC55" s="440"/>
      <c r="AD55" s="441"/>
      <c r="AE55" s="441"/>
      <c r="AF55" s="441"/>
      <c r="AG55" s="441"/>
      <c r="AH55" s="441"/>
      <c r="AI55" s="444"/>
      <c r="AJ55" s="442"/>
      <c r="AK55" s="154"/>
    </row>
    <row r="56" spans="1:43" ht="15" customHeight="1" x14ac:dyDescent="0.25">
      <c r="A56" s="613" t="str">
        <f t="shared" ref="A56:A64" si="1">IF(A46="H","","H")</f>
        <v/>
      </c>
      <c r="B56" s="17"/>
      <c r="C56" s="1049"/>
      <c r="D56" s="17"/>
      <c r="E56" s="17"/>
      <c r="F56" s="17"/>
      <c r="G56" s="17"/>
      <c r="H56" s="17"/>
      <c r="I56" s="17"/>
      <c r="J56" s="17"/>
      <c r="K56" s="17"/>
      <c r="L56" s="17"/>
      <c r="M56" s="17"/>
      <c r="N56" s="17"/>
      <c r="O56" s="17"/>
      <c r="P56" s="17"/>
      <c r="Q56" s="61"/>
      <c r="R56" s="17"/>
      <c r="S56" s="183"/>
      <c r="T56" s="183"/>
      <c r="U56" s="183"/>
      <c r="V56" s="183"/>
      <c r="W56" s="183"/>
      <c r="X56" s="1300" t="s">
        <v>177</v>
      </c>
      <c r="Y56" s="1300"/>
      <c r="Z56" s="1300"/>
      <c r="AA56" s="144"/>
      <c r="AB56" s="144"/>
      <c r="AC56" s="144"/>
      <c r="AD56" s="144"/>
      <c r="AE56" s="144"/>
      <c r="AF56" s="144"/>
      <c r="AG56" s="144"/>
      <c r="AH56" s="144"/>
      <c r="AI56" s="144"/>
      <c r="AJ56" s="144"/>
      <c r="AK56" s="154"/>
      <c r="AO56" s="1266" t="str">
        <f ca="1">AO9</f>
        <v>Punten</v>
      </c>
      <c r="AP56" s="1266" t="str">
        <f ca="1">AP9</f>
        <v>Doelpunten voor</v>
      </c>
      <c r="AQ56" s="1266" t="str">
        <f ca="1">AQ9</f>
        <v>Doelpunten tegen</v>
      </c>
    </row>
    <row r="57" spans="1:43" ht="20.100000000000001" customHeight="1" x14ac:dyDescent="0.25">
      <c r="A57" s="613" t="str">
        <f t="shared" si="1"/>
        <v/>
      </c>
      <c r="B57" s="17"/>
      <c r="C57" s="1049"/>
      <c r="D57" s="17"/>
      <c r="E57" s="17"/>
      <c r="F57" s="17"/>
      <c r="G57" s="17"/>
      <c r="H57" s="17"/>
      <c r="I57" s="17"/>
      <c r="J57" s="17"/>
      <c r="K57" s="17"/>
      <c r="L57" s="17"/>
      <c r="M57" s="17"/>
      <c r="N57" s="17"/>
      <c r="O57" s="17"/>
      <c r="P57" s="17"/>
      <c r="Q57" s="61"/>
      <c r="R57" s="17"/>
      <c r="S57" s="144"/>
      <c r="T57" s="185" t="s">
        <v>226</v>
      </c>
      <c r="U57" s="144"/>
      <c r="V57" s="144"/>
      <c r="W57" s="144"/>
      <c r="X57" s="1289" t="str">
        <f>Y15&amp;Z15&amp;Y25&amp;Z25&amp;Y35&amp;Z35&amp;IF(A45="H","",Y45&amp;Z45)</f>
        <v>FOUTFOUTFOUTFOUTFOUTFOUT</v>
      </c>
      <c r="Y57" s="1290"/>
      <c r="Z57" s="1291"/>
      <c r="AA57" s="1298" t="s">
        <v>271</v>
      </c>
      <c r="AB57" s="1299"/>
      <c r="AC57" s="152"/>
      <c r="AD57" s="144"/>
      <c r="AE57" s="144"/>
      <c r="AF57" s="144"/>
      <c r="AG57" s="144"/>
      <c r="AH57" s="144"/>
      <c r="AI57" s="144"/>
      <c r="AJ57" s="144"/>
      <c r="AK57" s="154"/>
      <c r="AO57" s="1267"/>
      <c r="AP57" s="1267"/>
      <c r="AQ57" s="1267"/>
    </row>
    <row r="58" spans="1:43" ht="15" customHeight="1" x14ac:dyDescent="0.25">
      <c r="A58" s="613" t="str">
        <f t="shared" si="1"/>
        <v/>
      </c>
      <c r="B58" s="17"/>
      <c r="C58" s="1049"/>
      <c r="D58" s="17"/>
      <c r="E58" s="17"/>
      <c r="F58" s="17"/>
      <c r="G58" s="17"/>
      <c r="H58" s="17"/>
      <c r="I58" s="17"/>
      <c r="J58" s="17"/>
      <c r="K58" s="17"/>
      <c r="L58" s="17"/>
      <c r="M58" s="17"/>
      <c r="N58" s="17"/>
      <c r="O58" s="17"/>
      <c r="P58" s="17"/>
      <c r="Q58" s="61"/>
      <c r="R58" s="17"/>
      <c r="S58" s="144"/>
      <c r="T58" s="184" t="s">
        <v>200</v>
      </c>
      <c r="U58" s="144"/>
      <c r="V58" s="144"/>
      <c r="W58" s="144"/>
      <c r="X58" s="1292"/>
      <c r="Y58" s="1293"/>
      <c r="Z58" s="1294"/>
      <c r="AA58" s="1298"/>
      <c r="AB58" s="1299"/>
      <c r="AC58" s="152"/>
      <c r="AD58" s="144"/>
      <c r="AE58" s="144"/>
      <c r="AF58" s="144"/>
      <c r="AG58" s="144"/>
      <c r="AH58" s="144"/>
      <c r="AI58" s="144"/>
      <c r="AJ58" s="144"/>
      <c r="AK58" s="154"/>
      <c r="AO58" s="1267"/>
      <c r="AP58" s="1267"/>
      <c r="AQ58" s="1267"/>
    </row>
    <row r="59" spans="1:43" ht="20.100000000000001" customHeight="1" x14ac:dyDescent="0.25">
      <c r="A59" s="613" t="str">
        <f t="shared" si="1"/>
        <v/>
      </c>
      <c r="B59" s="17"/>
      <c r="C59" s="1049"/>
      <c r="D59" s="17"/>
      <c r="E59" s="17"/>
      <c r="F59" s="17"/>
      <c r="G59" s="17"/>
      <c r="H59" s="17"/>
      <c r="I59" s="17"/>
      <c r="J59" s="17"/>
      <c r="K59" s="17"/>
      <c r="L59" s="17"/>
      <c r="M59" s="17"/>
      <c r="N59" s="17"/>
      <c r="O59" s="17"/>
      <c r="P59" s="17"/>
      <c r="Q59" s="61"/>
      <c r="R59" s="17"/>
      <c r="S59" s="144"/>
      <c r="T59" s="182">
        <f>IF(COUNTIF(Y15:Z54,"DUBBEL")&gt;0,1,0)</f>
        <v>0</v>
      </c>
      <c r="U59" s="144"/>
      <c r="V59" s="144"/>
      <c r="W59" s="144"/>
      <c r="X59" s="1295"/>
      <c r="Y59" s="1296"/>
      <c r="Z59" s="1297"/>
      <c r="AA59" s="1298" t="str">
        <f>IF(LEN(SUBSTITUTE(X57,"FOUT","ONGELDIG"))=Z60,"GOED","FOUT")</f>
        <v>FOUT</v>
      </c>
      <c r="AB59" s="1299"/>
      <c r="AC59" s="152"/>
      <c r="AD59" s="144"/>
      <c r="AE59" s="144"/>
      <c r="AF59" s="144"/>
      <c r="AG59" s="144"/>
      <c r="AH59" s="144"/>
      <c r="AI59" s="144"/>
      <c r="AJ59" s="144"/>
      <c r="AK59" s="154"/>
      <c r="AO59" s="1267"/>
      <c r="AP59" s="1267"/>
      <c r="AQ59" s="1267"/>
    </row>
    <row r="60" spans="1:43" ht="15" customHeight="1" x14ac:dyDescent="0.25">
      <c r="A60" s="613" t="str">
        <f t="shared" si="1"/>
        <v/>
      </c>
      <c r="B60" s="17"/>
      <c r="C60" s="1049"/>
      <c r="D60" s="17"/>
      <c r="E60" s="17"/>
      <c r="F60" s="17"/>
      <c r="G60" s="17"/>
      <c r="H60" s="17"/>
      <c r="I60" s="17"/>
      <c r="J60" s="17"/>
      <c r="K60" s="17"/>
      <c r="L60" s="17"/>
      <c r="M60" s="17"/>
      <c r="N60" s="17"/>
      <c r="O60" s="17"/>
      <c r="P60" s="17"/>
      <c r="Q60" s="61"/>
      <c r="R60" s="17"/>
      <c r="S60" s="144"/>
      <c r="T60" s="144"/>
      <c r="U60" s="144"/>
      <c r="V60" s="144"/>
      <c r="W60" s="144"/>
      <c r="X60" s="144"/>
      <c r="Y60" s="144"/>
      <c r="Z60" s="245">
        <f>LEN(X57)</f>
        <v>24</v>
      </c>
      <c r="AA60" s="144"/>
      <c r="AB60" s="144"/>
      <c r="AC60" s="144"/>
      <c r="AD60" s="144"/>
      <c r="AE60" s="144"/>
      <c r="AF60" s="144"/>
      <c r="AG60" s="144"/>
      <c r="AH60" s="144"/>
      <c r="AI60" s="144"/>
      <c r="AJ60" s="144"/>
      <c r="AK60" s="154"/>
      <c r="AO60" s="1267"/>
      <c r="AP60" s="1267"/>
      <c r="AQ60" s="1267"/>
    </row>
    <row r="61" spans="1:43" ht="20.100000000000001" customHeight="1" x14ac:dyDescent="0.25">
      <c r="A61" s="613" t="str">
        <f t="shared" si="1"/>
        <v/>
      </c>
      <c r="B61" s="17"/>
      <c r="C61" s="1049"/>
      <c r="D61" s="17"/>
      <c r="E61" s="17"/>
      <c r="F61" s="17"/>
      <c r="G61" s="17"/>
      <c r="H61" s="17"/>
      <c r="I61" s="17"/>
      <c r="J61" s="17"/>
      <c r="K61" s="17"/>
      <c r="L61" s="17"/>
      <c r="M61" s="17"/>
      <c r="N61" s="17"/>
      <c r="O61" s="17"/>
      <c r="P61" s="17"/>
      <c r="Q61" s="61"/>
      <c r="R61" s="17"/>
      <c r="Z61" s="44"/>
      <c r="AA61" s="44"/>
      <c r="AB61" s="44"/>
      <c r="AC61" s="44"/>
      <c r="AE61" s="44"/>
      <c r="AF61" s="44"/>
      <c r="AG61" s="44"/>
      <c r="AH61" s="44"/>
      <c r="AI61" s="44"/>
      <c r="AJ61" s="44"/>
      <c r="AK61" s="154"/>
      <c r="AO61" s="1268"/>
      <c r="AP61" s="1268"/>
      <c r="AQ61" s="1268"/>
    </row>
    <row r="62" spans="1:43" ht="15" customHeight="1" x14ac:dyDescent="0.25">
      <c r="A62" s="613" t="str">
        <f t="shared" si="1"/>
        <v/>
      </c>
      <c r="B62" s="17"/>
      <c r="C62" s="1049"/>
      <c r="D62" s="17"/>
      <c r="E62" s="17"/>
      <c r="F62" s="17"/>
      <c r="G62" s="17"/>
      <c r="H62" s="17"/>
      <c r="I62" s="17"/>
      <c r="J62" s="17"/>
      <c r="K62" s="17"/>
      <c r="L62" s="17"/>
      <c r="M62" s="17"/>
      <c r="N62" s="17"/>
      <c r="O62" s="17"/>
      <c r="P62" s="17"/>
      <c r="Q62" s="61"/>
      <c r="R62" s="17"/>
      <c r="Z62" s="44"/>
      <c r="AA62" s="44"/>
      <c r="AB62" s="44"/>
      <c r="AC62" s="44"/>
      <c r="AE62" s="44"/>
      <c r="AF62" s="44"/>
      <c r="AG62" s="44"/>
      <c r="AH62" s="44"/>
      <c r="AI62" s="44"/>
      <c r="AJ62" s="44"/>
      <c r="AK62" s="154"/>
    </row>
    <row r="63" spans="1:43" ht="20.100000000000001" customHeight="1" x14ac:dyDescent="0.25">
      <c r="A63" s="613" t="str">
        <f t="shared" si="1"/>
        <v/>
      </c>
      <c r="B63" s="17"/>
      <c r="C63" s="1049"/>
      <c r="D63" s="17"/>
      <c r="E63" s="17"/>
      <c r="F63" s="17"/>
      <c r="G63" s="17"/>
      <c r="H63" s="17"/>
      <c r="I63" s="17"/>
      <c r="J63" s="17"/>
      <c r="K63" s="17"/>
      <c r="L63" s="17"/>
      <c r="M63" s="17"/>
      <c r="N63" s="17"/>
      <c r="O63" s="17"/>
      <c r="P63" s="17"/>
      <c r="Q63" s="61"/>
      <c r="R63" s="17"/>
      <c r="Z63" s="44"/>
      <c r="AA63" s="44"/>
      <c r="AB63" s="44"/>
      <c r="AC63" s="44"/>
      <c r="AE63" s="44"/>
      <c r="AF63" s="44"/>
      <c r="AG63" s="44"/>
      <c r="AH63" s="44"/>
      <c r="AI63" s="44"/>
      <c r="AJ63" s="44"/>
      <c r="AK63" s="154"/>
    </row>
    <row r="64" spans="1:43" ht="15" customHeight="1" x14ac:dyDescent="0.25">
      <c r="A64" s="613" t="str">
        <f t="shared" si="1"/>
        <v/>
      </c>
      <c r="B64" s="17"/>
      <c r="C64" s="1049"/>
      <c r="D64" s="17"/>
      <c r="E64" s="17"/>
      <c r="F64" s="17"/>
      <c r="G64" s="17"/>
      <c r="H64" s="17"/>
      <c r="I64" s="17"/>
      <c r="J64" s="17"/>
      <c r="K64" s="17"/>
      <c r="L64" s="17"/>
      <c r="M64" s="17"/>
      <c r="N64" s="17"/>
      <c r="O64" s="17"/>
      <c r="P64" s="17"/>
      <c r="Q64" s="61"/>
      <c r="R64" s="17"/>
      <c r="Z64" s="44"/>
      <c r="AA64" s="44"/>
      <c r="AB64" s="44"/>
      <c r="AC64" s="44"/>
      <c r="AE64" s="44"/>
      <c r="AF64" s="44"/>
      <c r="AG64" s="44"/>
      <c r="AH64" s="44"/>
      <c r="AI64" s="44"/>
      <c r="AJ64" s="44"/>
      <c r="AK64" s="154"/>
    </row>
    <row r="65" spans="2:43" ht="15" customHeight="1" x14ac:dyDescent="0.25">
      <c r="B65" s="17"/>
      <c r="C65" s="1050"/>
      <c r="D65" s="108"/>
      <c r="E65" s="108"/>
      <c r="F65" s="108"/>
      <c r="G65" s="108"/>
      <c r="H65" s="108"/>
      <c r="I65" s="108"/>
      <c r="J65" s="108"/>
      <c r="K65" s="108"/>
      <c r="L65" s="108"/>
      <c r="M65" s="108"/>
      <c r="N65" s="108"/>
      <c r="O65" s="108"/>
      <c r="P65" s="108"/>
      <c r="Q65" s="1052"/>
      <c r="R65" s="17"/>
      <c r="AL65" s="639"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266" t="str">
        <f>IF(A45="H","",AO9)</f>
        <v/>
      </c>
      <c r="AP66" s="1266" t="str">
        <f>IF(A45="H","",AP9)</f>
        <v/>
      </c>
      <c r="AQ66" s="1266" t="str">
        <f>IF(A45="H","",AQ9)</f>
        <v/>
      </c>
    </row>
    <row r="67" spans="2:43" ht="15" customHeight="1" x14ac:dyDescent="0.25">
      <c r="B67" s="17"/>
      <c r="C67" s="1086"/>
      <c r="D67" s="1076" t="str">
        <f>IF(Reglement!D71="","",Reglement!D71)</f>
        <v>www.excel-pool.nl</v>
      </c>
      <c r="E67" s="1087"/>
      <c r="F67" s="1087"/>
      <c r="G67" s="1087"/>
      <c r="H67" s="1087"/>
      <c r="I67" s="1087"/>
      <c r="J67" s="1087"/>
      <c r="K67" s="1087"/>
      <c r="L67" s="1087"/>
      <c r="M67" s="1087"/>
      <c r="N67" s="1087"/>
      <c r="O67" s="1087"/>
      <c r="P67" s="1078" t="str">
        <f>IF(Reglement!M71="","",Reglement!M71)</f>
        <v>©2024 Eric de Jong v24.00hd</v>
      </c>
      <c r="Q67" s="1088"/>
      <c r="R67" s="17"/>
      <c r="AO67" s="1267"/>
      <c r="AP67" s="1267"/>
      <c r="AQ67" s="1267"/>
    </row>
    <row r="68" spans="2:43" ht="15" customHeight="1" x14ac:dyDescent="0.25">
      <c r="B68" s="17"/>
      <c r="C68" s="17"/>
      <c r="D68" s="17"/>
      <c r="E68" s="17"/>
      <c r="F68" s="17"/>
      <c r="G68" s="17"/>
      <c r="H68" s="17"/>
      <c r="I68" s="17"/>
      <c r="J68" s="17"/>
      <c r="K68" s="17"/>
      <c r="L68" s="17"/>
      <c r="M68" s="17"/>
      <c r="N68" s="17"/>
      <c r="O68" s="17"/>
      <c r="P68" s="17"/>
      <c r="Q68" s="17"/>
      <c r="R68" s="17"/>
      <c r="AO68" s="1267"/>
      <c r="AP68" s="1267"/>
      <c r="AQ68" s="1267"/>
    </row>
    <row r="69" spans="2:43" ht="15" customHeight="1" x14ac:dyDescent="0.25">
      <c r="AO69" s="1267"/>
      <c r="AP69" s="1267"/>
      <c r="AQ69" s="1267"/>
    </row>
    <row r="70" spans="2:43" ht="15" customHeight="1" x14ac:dyDescent="0.25">
      <c r="AO70" s="1267"/>
      <c r="AP70" s="1267"/>
      <c r="AQ70" s="1267"/>
    </row>
    <row r="71" spans="2:43" ht="15" customHeight="1" x14ac:dyDescent="0.25">
      <c r="Z71" s="44"/>
      <c r="AA71" s="44"/>
      <c r="AB71" s="44"/>
      <c r="AC71" s="44"/>
      <c r="AE71" s="44"/>
      <c r="AF71" s="44"/>
      <c r="AG71" s="44"/>
      <c r="AH71" s="44"/>
      <c r="AO71" s="1268"/>
      <c r="AP71" s="1268"/>
      <c r="AQ71" s="1268"/>
    </row>
  </sheetData>
  <sheetProtection algorithmName="SHA-512" hashValue="RiBXUDOb0IxNrGIO2+PJNcrxGhtVHOXRTVgamAlQbhNMyxWJUquxjEQYjxgDNstgH/oOsKpWbbU/PIBMVDiXzw==" saltValue="q9NNSVamui7flTgQo+GB+g=="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56" priority="84">
      <formula>$A$1="A255255255"</formula>
    </cfRule>
    <cfRule type="expression" dxfId="55" priority="85">
      <formula>$A$1="A000000000"</formula>
    </cfRule>
  </conditionalFormatting>
  <conditionalFormatting sqref="D7">
    <cfRule type="expression" dxfId="54" priority="86">
      <formula>$Y$3=1</formula>
    </cfRule>
  </conditionalFormatting>
  <conditionalFormatting sqref="D13">
    <cfRule type="expression" dxfId="53" priority="8324">
      <formula>$T$59=1</formula>
    </cfRule>
  </conditionalFormatting>
  <conditionalFormatting sqref="D16:E16 D18:E18 D20:E20 D22:E22 D26:E26 D28:E28 D30:E30 D32:E32 D36:E36 D38:E38 D40:E40 D42:E42 D46:E46 D48:E48 D50:E50 D52:E52">
    <cfRule type="expression" dxfId="52" priority="243">
      <formula>$Y17="LEEG"</formula>
    </cfRule>
    <cfRule type="expression" dxfId="51" priority="8290">
      <formula>$Y17="GOED"</formula>
    </cfRule>
    <cfRule type="expression" dxfId="50" priority="8299">
      <formula>OR($Y17="DUBBEL",$Y17="ONGELDIG")</formula>
    </cfRule>
  </conditionalFormatting>
  <conditionalFormatting sqref="K16:L16 K18:L18 K20:L20 K22:L22 K26:L26 K28:L28 K30:L30 K32:L32 K36:L36 K38:L38 K40:L40 K42:L42 K46:L46 K48:L48 K50:L50 K52:L52">
    <cfRule type="expression" dxfId="49" priority="244">
      <formula>$Z17="LEEG"</formula>
    </cfRule>
    <cfRule type="expression" dxfId="48" priority="8298">
      <formula>$Z17="GOED"</formula>
    </cfRule>
    <cfRule type="expression" dxfId="47" priority="8300">
      <formula>OR($Z17="DUBBEL",$Z17="ONGELDIG")</formula>
    </cfRule>
  </conditionalFormatting>
  <conditionalFormatting sqref="AL9:AQ71">
    <cfRule type="expression" dxfId="46" priority="97">
      <formula>AND($AC$7=0,$AC$11=0)</formula>
    </cfRule>
  </conditionalFormatting>
  <conditionalFormatting sqref="AL16:AQ19">
    <cfRule type="expression" dxfId="45" priority="105">
      <formula>$AF$6="JA"</formula>
    </cfRule>
  </conditionalFormatting>
  <conditionalFormatting sqref="AL21:AQ24">
    <cfRule type="expression" dxfId="44" priority="123">
      <formula>$AH$6="JA"</formula>
    </cfRule>
  </conditionalFormatting>
  <conditionalFormatting sqref="AL26:AQ29">
    <cfRule type="expression" dxfId="43" priority="106">
      <formula>$AF$7="JA"</formula>
    </cfRule>
  </conditionalFormatting>
  <conditionalFormatting sqref="AL31:AQ34">
    <cfRule type="expression" dxfId="42" priority="124">
      <formula>$AH$7="JA"</formula>
    </cfRule>
  </conditionalFormatting>
  <conditionalFormatting sqref="AL36:AQ39">
    <cfRule type="expression" dxfId="41" priority="107">
      <formula>$AF$8="JA"</formula>
    </cfRule>
  </conditionalFormatting>
  <conditionalFormatting sqref="AL41:AQ44">
    <cfRule type="expression" dxfId="40" priority="126">
      <formula>$AH$8="JA"</formula>
    </cfRule>
  </conditionalFormatting>
  <conditionalFormatting sqref="AL46:AQ49">
    <cfRule type="expression" dxfId="39" priority="108">
      <formula>$AF$9="JA"</formula>
    </cfRule>
  </conditionalFormatting>
  <conditionalFormatting sqref="AL51:AQ64">
    <cfRule type="expression" dxfId="38" priority="127">
      <formula>$AH$9="JA"</formula>
    </cfRule>
  </conditionalFormatting>
  <conditionalFormatting sqref="AO66:AQ71">
    <cfRule type="expression" dxfId="37" priority="1">
      <formula>$A$45="H"</formula>
    </cfRule>
  </conditionalFormatting>
  <conditionalFormatting sqref="AP9:AQ71">
    <cfRule type="expression" dxfId="36"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10</vt:i4>
      </vt:variant>
    </vt:vector>
  </HeadingPairs>
  <TitlesOfParts>
    <vt:vector size="23" baseType="lpstr">
      <vt:lpstr>Taal01</vt:lpstr>
      <vt:lpstr>Taal02</vt:lpstr>
      <vt:lpstr>Taal03</vt:lpstr>
      <vt:lpstr>Taal04</vt:lpstr>
      <vt:lpstr>Voorblad</vt:lpstr>
      <vt:lpstr>Reglement</vt:lpstr>
      <vt:lpstr>Prijzenpot</vt:lpstr>
      <vt:lpstr>Groepswedstrijden</vt:lpstr>
      <vt:lpstr>Eindstand Groep</vt:lpstr>
      <vt:lpstr>Finalewedstrijden</vt:lpstr>
      <vt:lpstr>Bonusvragen</vt:lpstr>
      <vt:lpstr>Teams</vt:lpstr>
      <vt:lpstr>Deelnamecode</vt:lpstr>
      <vt:lpstr>Bonusvragen!Afdrukbereik</vt:lpstr>
      <vt:lpstr>Deelnamecode!Afdrukbereik</vt:lpstr>
      <vt:lpstr>'Eindstand Groep'!Afdrukbereik</vt:lpstr>
      <vt:lpstr>Finalewedstrijden!Afdrukbereik</vt:lpstr>
      <vt:lpstr>Groepswedstrijden!Afdrukbereik</vt:lpstr>
      <vt:lpstr>Prijzenpot!Afdrukbereik</vt:lpstr>
      <vt:lpstr>Reglement!Afdrukbereik</vt:lpstr>
      <vt:lpstr>Teams!Afdrukbereik</vt:lpstr>
      <vt:lpstr>Voorblad!Afdrukbereik</vt:lpstr>
      <vt:lpstr>DEENAMECODE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Roderick Dekker</cp:lastModifiedBy>
  <cp:lastPrinted>2024-03-13T21:09:19Z</cp:lastPrinted>
  <dcterms:created xsi:type="dcterms:W3CDTF">2008-04-11T17:46:19Z</dcterms:created>
  <dcterms:modified xsi:type="dcterms:W3CDTF">2024-05-25T19:54:28Z</dcterms:modified>
</cp:coreProperties>
</file>